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4835" windowHeight="7725" tabRatio="599" activeTab="0"/>
  </bookViews>
  <sheets>
    <sheet name="Annuale" sheetId="1" r:id="rId1"/>
    <sheet name="Mensile" sheetId="2" r:id="rId2"/>
    <sheet name="Aliquote" sheetId="3" r:id="rId3"/>
    <sheet name="Gen" sheetId="4" r:id="rId4"/>
    <sheet name="Feb" sheetId="5" r:id="rId5"/>
    <sheet name="Mar" sheetId="6" r:id="rId6"/>
    <sheet name="Apr" sheetId="7" r:id="rId7"/>
    <sheet name="Mag" sheetId="8" r:id="rId8"/>
    <sheet name="Giu" sheetId="9" r:id="rId9"/>
    <sheet name="Lug" sheetId="10" r:id="rId10"/>
    <sheet name="Ago" sheetId="11" r:id="rId11"/>
    <sheet name="Set" sheetId="12" r:id="rId12"/>
    <sheet name="Ott" sheetId="13" r:id="rId13"/>
    <sheet name="Nov" sheetId="14" r:id="rId14"/>
    <sheet name="Dic" sheetId="15" r:id="rId15"/>
    <sheet name="Conguaglio" sheetId="16" r:id="rId16"/>
  </sheets>
  <externalReferences>
    <externalReference r:id="rId19"/>
  </externalReferences>
  <definedNames>
    <definedName name="abi" localSheetId="10">'Ago'!$AP$18:$AQ$36</definedName>
    <definedName name="abi" localSheetId="6">'Apr'!$AP$18:$AQ$36</definedName>
    <definedName name="abi" localSheetId="15">'Conguaglio'!$Z$18:$AA$36</definedName>
    <definedName name="abi" localSheetId="14">'Dic'!$AP$18:$AQ$36</definedName>
    <definedName name="abi" localSheetId="4">'Feb'!$AP$18:$AQ$36</definedName>
    <definedName name="abi" localSheetId="3">'Gen'!$AP$18:$AQ$36</definedName>
    <definedName name="abi" localSheetId="8">'Giu'!$AP$18:$AQ$36</definedName>
    <definedName name="abi" localSheetId="9">'Lug'!$AP$18:$AQ$36</definedName>
    <definedName name="abi" localSheetId="7">'Mag'!$AP$18:$AQ$36</definedName>
    <definedName name="abi" localSheetId="5">'Mar'!$AP$18:$AQ$36</definedName>
    <definedName name="abi" localSheetId="1">'Mensile'!$AP$18:$AQ$36</definedName>
    <definedName name="abi" localSheetId="13">'Nov'!$AP$18:$AQ$36</definedName>
    <definedName name="abi" localSheetId="12">'Ott'!$AP$18:$AQ$36</definedName>
    <definedName name="abi" localSheetId="11">'Set'!$AP$18:$AQ$36</definedName>
    <definedName name="abi">'Annuale'!$Z$18:$AA$36</definedName>
    <definedName name="Aliquote" localSheetId="10">'Ago'!$AI$3:$AL$8</definedName>
    <definedName name="Aliquote" localSheetId="6">'Apr'!$AI$3:$AL$8</definedName>
    <definedName name="Aliquote" localSheetId="15">'Conguaglio'!$S$3:$V$8</definedName>
    <definedName name="Aliquote" localSheetId="14">'Dic'!$AI$3:$AL$8</definedName>
    <definedName name="Aliquote" localSheetId="4">'Feb'!$AI$3:$AL$8</definedName>
    <definedName name="Aliquote" localSheetId="3">'Gen'!$AI$3:$AL$8</definedName>
    <definedName name="Aliquote" localSheetId="8">'Giu'!$AI$3:$AL$8</definedName>
    <definedName name="Aliquote" localSheetId="9">'Lug'!$AI$3:$AL$8</definedName>
    <definedName name="Aliquote" localSheetId="7">'Mag'!$AI$3:$AL$8</definedName>
    <definedName name="Aliquote" localSheetId="5">'Mar'!$AI$3:$AL$8</definedName>
    <definedName name="Aliquote" localSheetId="1">'Mensile'!$AI$3:$AL$8</definedName>
    <definedName name="Aliquote" localSheetId="13">'Nov'!$AI$3:$AL$8</definedName>
    <definedName name="Aliquote" localSheetId="12">'Ott'!$AI$3:$AL$8</definedName>
    <definedName name="Aliquote" localSheetId="11">'Set'!$AI$3:$AL$8</definedName>
    <definedName name="Aliquote">'Annuale'!$S$3:$V$8</definedName>
    <definedName name="Altre_detraz" localSheetId="10">'Ago'!$AI$69:$AJ$73</definedName>
    <definedName name="Altre_detraz" localSheetId="6">'Apr'!$AI$69:$AJ$73</definedName>
    <definedName name="Altre_detraz" localSheetId="15">'Conguaglio'!$S$69:$T$73</definedName>
    <definedName name="Altre_detraz" localSheetId="14">'Dic'!$AI$69:$AJ$73</definedName>
    <definedName name="Altre_detraz" localSheetId="4">'Feb'!$AI$69:$AJ$73</definedName>
    <definedName name="Altre_detraz" localSheetId="3">'Gen'!$AI$69:$AJ$73</definedName>
    <definedName name="Altre_detraz" localSheetId="8">'Giu'!$AI$69:$AJ$73</definedName>
    <definedName name="Altre_detraz" localSheetId="9">'Lug'!$AI$69:$AJ$73</definedName>
    <definedName name="Altre_detraz" localSheetId="7">'Mag'!$AI$69:$AJ$73</definedName>
    <definedName name="Altre_detraz" localSheetId="5">'Mar'!$AI$69:$AJ$73</definedName>
    <definedName name="Altre_detraz" localSheetId="1">'Mensile'!$AI$69:$AJ$73</definedName>
    <definedName name="Altre_detraz" localSheetId="13">'Nov'!$AI$69:$AJ$73</definedName>
    <definedName name="Altre_detraz" localSheetId="12">'Ott'!$AI$69:$AJ$73</definedName>
    <definedName name="Altre_detraz" localSheetId="11">'Set'!$AI$69:$AJ$73</definedName>
    <definedName name="Altre_detraz">'Annuale'!$S$69:$T$73</definedName>
    <definedName name="Altri" localSheetId="10">'Ago'!$AJ$66</definedName>
    <definedName name="Altri" localSheetId="6">'Apr'!$AJ$66</definedName>
    <definedName name="Altri" localSheetId="15">'Conguaglio'!$T$66</definedName>
    <definedName name="Altri" localSheetId="14">'Dic'!$AJ$66</definedName>
    <definedName name="Altri" localSheetId="4">'Feb'!$AJ$66</definedName>
    <definedName name="Altri" localSheetId="3">'Gen'!$AJ$66</definedName>
    <definedName name="Altri" localSheetId="8">'Giu'!$AJ$66</definedName>
    <definedName name="Altri" localSheetId="9">'Lug'!$AJ$66</definedName>
    <definedName name="Altri" localSheetId="7">'Mag'!$AJ$66</definedName>
    <definedName name="Altri" localSheetId="5">'Mar'!$AJ$66</definedName>
    <definedName name="Altri" localSheetId="1">'Mensile'!$AJ$66</definedName>
    <definedName name="Altri" localSheetId="13">'Nov'!$AJ$66</definedName>
    <definedName name="Altri" localSheetId="12">'Ott'!$AJ$66</definedName>
    <definedName name="Altri" localSheetId="11">'Set'!$AJ$66</definedName>
    <definedName name="Altri">'Annuale'!$T$66</definedName>
    <definedName name="Altro" localSheetId="10">'Ago'!$AJ$15</definedName>
    <definedName name="Altro" localSheetId="6">'Apr'!$AJ$15</definedName>
    <definedName name="Altro" localSheetId="15">'Conguaglio'!$T$15</definedName>
    <definedName name="Altro" localSheetId="14">'Dic'!$AJ$15</definedName>
    <definedName name="Altro" localSheetId="4">'Feb'!$AJ$15</definedName>
    <definedName name="Altro" localSheetId="3">'Gen'!$AJ$15</definedName>
    <definedName name="Altro" localSheetId="8">'Giu'!$AJ$15</definedName>
    <definedName name="Altro" localSheetId="9">'Lug'!$AJ$15</definedName>
    <definedName name="Altro" localSheetId="7">'Mag'!$AJ$15</definedName>
    <definedName name="Altro" localSheetId="5">'Mar'!$AJ$15</definedName>
    <definedName name="Altro" localSheetId="1">'Mensile'!$AJ$15</definedName>
    <definedName name="Altro" localSheetId="13">'Nov'!$AJ$15</definedName>
    <definedName name="Altro" localSheetId="12">'Ott'!$AJ$15</definedName>
    <definedName name="Altro" localSheetId="11">'Set'!$AJ$15</definedName>
    <definedName name="Altro">'Annuale'!$T$15</definedName>
    <definedName name="_xlnm.Print_Area" localSheetId="10">'Ago'!$A$1:$P$50</definedName>
    <definedName name="_xlnm.Print_Area" localSheetId="0">'Annuale'!$A$1:$P$58</definedName>
    <definedName name="_xlnm.Print_Area" localSheetId="6">'Apr'!$A$1:$P$50</definedName>
    <definedName name="_xlnm.Print_Area" localSheetId="15">'Conguaglio'!$A$1:$P$58</definedName>
    <definedName name="_xlnm.Print_Area" localSheetId="14">'Dic'!$A$1:$P$50</definedName>
    <definedName name="_xlnm.Print_Area" localSheetId="4">'Feb'!$A$1:$P$50</definedName>
    <definedName name="_xlnm.Print_Area" localSheetId="3">'Gen'!$A$1:$P$50</definedName>
    <definedName name="_xlnm.Print_Area" localSheetId="8">'Giu'!$A$1:$P$50</definedName>
    <definedName name="_xlnm.Print_Area" localSheetId="9">'Lug'!$A$1:$P$50</definedName>
    <definedName name="_xlnm.Print_Area" localSheetId="7">'Mag'!$A$1:$P$50</definedName>
    <definedName name="_xlnm.Print_Area" localSheetId="5">'Mar'!$A$1:$P$50</definedName>
    <definedName name="_xlnm.Print_Area" localSheetId="1">'Mensile'!$A$1:$P$50</definedName>
    <definedName name="_xlnm.Print_Area" localSheetId="13">'Nov'!$A$1:$P$50</definedName>
    <definedName name="_xlnm.Print_Area" localSheetId="12">'Ott'!$A$1:$P$50</definedName>
    <definedName name="_xlnm.Print_Area" localSheetId="11">'Set'!$A$1:$P$50</definedName>
    <definedName name="AssCon" localSheetId="10">'Ago'!$AG$11:$AH$14</definedName>
    <definedName name="AssCon" localSheetId="6">'Apr'!$AG$11:$AH$14</definedName>
    <definedName name="AssCon" localSheetId="15">'Conguaglio'!$Q$11:$R$14</definedName>
    <definedName name="AssCon" localSheetId="14">'Dic'!$AG$11:$AH$14</definedName>
    <definedName name="AssCon" localSheetId="4">'Feb'!$AG$11:$AH$14</definedName>
    <definedName name="AssCon" localSheetId="3">'Gen'!$AG$11:$AH$14</definedName>
    <definedName name="AssCon" localSheetId="8">'Giu'!$AG$11:$AH$14</definedName>
    <definedName name="AssCon" localSheetId="9">'Lug'!$AG$11:$AH$14</definedName>
    <definedName name="AssCon" localSheetId="7">'Mag'!$AG$11:$AH$14</definedName>
    <definedName name="AssCon" localSheetId="5">'Mar'!$AG$11:$AH$14</definedName>
    <definedName name="AssCon" localSheetId="1">'Mensile'!$AG$11:$AH$14</definedName>
    <definedName name="AssCon" localSheetId="13">'Nov'!$AG$11:$AH$14</definedName>
    <definedName name="AssCon" localSheetId="12">'Ott'!$AG$11:$AH$14</definedName>
    <definedName name="AssCon" localSheetId="11">'Set'!$AG$11:$AH$14</definedName>
    <definedName name="AssCon">'Annuale'!$Q$11:$R$14</definedName>
    <definedName name="Aum_altre" localSheetId="10">'Ago'!$AI$75:$AJ$81</definedName>
    <definedName name="Aum_altre" localSheetId="6">'Apr'!$AI$75:$AJ$81</definedName>
    <definedName name="Aum_altre" localSheetId="15">'Conguaglio'!$S$75:$T$81</definedName>
    <definedName name="Aum_altre" localSheetId="14">'Dic'!$AI$75:$AJ$81</definedName>
    <definedName name="Aum_altre" localSheetId="4">'Feb'!$AI$75:$AJ$81</definedName>
    <definedName name="Aum_altre" localSheetId="3">'Gen'!$AI$75:$AJ$81</definedName>
    <definedName name="Aum_altre" localSheetId="8">'Giu'!$AI$75:$AJ$81</definedName>
    <definedName name="Aum_altre" localSheetId="9">'Lug'!$AI$75:$AJ$81</definedName>
    <definedName name="Aum_altre" localSheetId="7">'Mag'!$AI$75:$AJ$81</definedName>
    <definedName name="Aum_altre" localSheetId="5">'Mar'!$AI$75:$AJ$81</definedName>
    <definedName name="Aum_altre" localSheetId="1">'Mensile'!$AI$75:$AJ$81</definedName>
    <definedName name="Aum_altre" localSheetId="13">'Nov'!$AI$75:$AJ$81</definedName>
    <definedName name="Aum_altre" localSheetId="12">'Ott'!$AI$75:$AJ$81</definedName>
    <definedName name="Aum_altre" localSheetId="11">'Set'!$AI$75:$AJ$81</definedName>
    <definedName name="Aum_altre">'Annuale'!$S$75:$T$81</definedName>
    <definedName name="aum1" localSheetId="10">'Ago'!$AL$51</definedName>
    <definedName name="aum1" localSheetId="6">'Apr'!$AL$51</definedName>
    <definedName name="aum1" localSheetId="15">'Conguaglio'!$V$51</definedName>
    <definedName name="aum1" localSheetId="14">'Dic'!$AL$51</definedName>
    <definedName name="aum1" localSheetId="4">'Feb'!$AL$51</definedName>
    <definedName name="aum1" localSheetId="3">'Gen'!$AL$51</definedName>
    <definedName name="aum1" localSheetId="8">'Giu'!$AL$51</definedName>
    <definedName name="aum1" localSheetId="9">'Lug'!$AL$51</definedName>
    <definedName name="aum1" localSheetId="7">'Mag'!$AL$51</definedName>
    <definedName name="aum1" localSheetId="5">'Mar'!$AL$51</definedName>
    <definedName name="aum1" localSheetId="1">'Mensile'!$AL$51</definedName>
    <definedName name="aum1" localSheetId="13">'Nov'!$AL$51</definedName>
    <definedName name="aum1" localSheetId="12">'Ott'!$AL$51</definedName>
    <definedName name="aum1" localSheetId="11">'Set'!$AL$51</definedName>
    <definedName name="aum1">'Annuale'!$V$51</definedName>
    <definedName name="aum2" localSheetId="10">'Ago'!$AL$52</definedName>
    <definedName name="aum2" localSheetId="6">'Apr'!$AL$52</definedName>
    <definedName name="aum2" localSheetId="15">'Conguaglio'!$V$52</definedName>
    <definedName name="aum2" localSheetId="14">'Dic'!$AL$52</definedName>
    <definedName name="aum2" localSheetId="4">'Feb'!$AL$52</definedName>
    <definedName name="aum2" localSheetId="3">'Gen'!$AL$52</definedName>
    <definedName name="aum2" localSheetId="8">'Giu'!$AL$52</definedName>
    <definedName name="aum2" localSheetId="9">'Lug'!$AL$52</definedName>
    <definedName name="aum2" localSheetId="7">'Mag'!$AL$52</definedName>
    <definedName name="aum2" localSheetId="5">'Mar'!$AL$52</definedName>
    <definedName name="aum2" localSheetId="1">'Mensile'!$AL$52</definedName>
    <definedName name="aum2" localSheetId="13">'Nov'!$AL$52</definedName>
    <definedName name="aum2" localSheetId="12">'Ott'!$AL$52</definedName>
    <definedName name="aum2" localSheetId="11">'Set'!$AL$52</definedName>
    <definedName name="aum2">'Annuale'!$V$52</definedName>
    <definedName name="aum3" localSheetId="10">'Ago'!$AL$53</definedName>
    <definedName name="aum3" localSheetId="6">'Apr'!$AL$53</definedName>
    <definedName name="aum3" localSheetId="15">'Conguaglio'!$V$53</definedName>
    <definedName name="aum3" localSheetId="14">'Dic'!$AL$53</definedName>
    <definedName name="aum3" localSheetId="4">'Feb'!$AL$53</definedName>
    <definedName name="aum3" localSheetId="3">'Gen'!$AL$53</definedName>
    <definedName name="aum3" localSheetId="8">'Giu'!$AL$53</definedName>
    <definedName name="aum3" localSheetId="9">'Lug'!$AL$53</definedName>
    <definedName name="aum3" localSheetId="7">'Mag'!$AL$53</definedName>
    <definedName name="aum3" localSheetId="5">'Mar'!$AL$53</definedName>
    <definedName name="aum3" localSheetId="1">'Mensile'!$AL$53</definedName>
    <definedName name="aum3" localSheetId="13">'Nov'!$AL$53</definedName>
    <definedName name="aum3" localSheetId="12">'Ott'!$AL$53</definedName>
    <definedName name="aum3" localSheetId="11">'Set'!$AL$53</definedName>
    <definedName name="aum3">'Annuale'!$V$53</definedName>
    <definedName name="aum4" localSheetId="10">'Ago'!$AL$54</definedName>
    <definedName name="aum4" localSheetId="6">'Apr'!$AL$54</definedName>
    <definedName name="aum4" localSheetId="15">'Conguaglio'!$V$54</definedName>
    <definedName name="aum4" localSheetId="14">'Dic'!$AL$54</definedName>
    <definedName name="aum4" localSheetId="4">'Feb'!$AL$54</definedName>
    <definedName name="aum4" localSheetId="3">'Gen'!$AL$54</definedName>
    <definedName name="aum4" localSheetId="8">'Giu'!$AL$54</definedName>
    <definedName name="aum4" localSheetId="9">'Lug'!$AL$54</definedName>
    <definedName name="aum4" localSheetId="7">'Mag'!$AL$54</definedName>
    <definedName name="aum4" localSheetId="5">'Mar'!$AL$54</definedName>
    <definedName name="aum4" localSheetId="1">'Mensile'!$AL$54</definedName>
    <definedName name="aum4" localSheetId="13">'Nov'!$AL$54</definedName>
    <definedName name="aum4" localSheetId="12">'Ott'!$AL$54</definedName>
    <definedName name="aum4" localSheetId="11">'Set'!$AL$54</definedName>
    <definedName name="aum4">'Annuale'!$V$54</definedName>
    <definedName name="aum5" localSheetId="10">'Ago'!$AL$55</definedName>
    <definedName name="aum5" localSheetId="6">'Apr'!$AL$55</definedName>
    <definedName name="aum5" localSheetId="15">'Conguaglio'!$V$55</definedName>
    <definedName name="aum5" localSheetId="14">'Dic'!$AL$55</definedName>
    <definedName name="aum5" localSheetId="4">'Feb'!$AL$55</definedName>
    <definedName name="aum5" localSheetId="3">'Gen'!$AL$55</definedName>
    <definedName name="aum5" localSheetId="8">'Giu'!$AL$55</definedName>
    <definedName name="aum5" localSheetId="9">'Lug'!$AL$55</definedName>
    <definedName name="aum5" localSheetId="7">'Mag'!$AL$55</definedName>
    <definedName name="aum5" localSheetId="5">'Mar'!$AL$55</definedName>
    <definedName name="aum5" localSheetId="1">'Mensile'!$AL$55</definedName>
    <definedName name="aum5" localSheetId="13">'Nov'!$AL$55</definedName>
    <definedName name="aum5" localSheetId="12">'Ott'!$AL$55</definedName>
    <definedName name="aum5" localSheetId="11">'Set'!$AL$55</definedName>
    <definedName name="aum5">'Annuale'!$V$55</definedName>
    <definedName name="aum6" localSheetId="10">'Ago'!$AL$56</definedName>
    <definedName name="aum6" localSheetId="6">'Apr'!$AL$56</definedName>
    <definedName name="aum6" localSheetId="15">'Conguaglio'!$V$56</definedName>
    <definedName name="aum6" localSheetId="14">'Dic'!$AL$56</definedName>
    <definedName name="aum6" localSheetId="4">'Feb'!$AL$56</definedName>
    <definedName name="aum6" localSheetId="3">'Gen'!$AL$56</definedName>
    <definedName name="aum6" localSheetId="8">'Giu'!$AL$56</definedName>
    <definedName name="aum6" localSheetId="9">'Lug'!$AL$56</definedName>
    <definedName name="aum6" localSheetId="7">'Mag'!$AL$56</definedName>
    <definedName name="aum6" localSheetId="5">'Mar'!$AL$56</definedName>
    <definedName name="aum6" localSheetId="1">'Mensile'!$AL$56</definedName>
    <definedName name="aum6" localSheetId="13">'Nov'!$AL$56</definedName>
    <definedName name="aum6" localSheetId="12">'Ott'!$AL$56</definedName>
    <definedName name="aum6" localSheetId="11">'Set'!$AL$56</definedName>
    <definedName name="aum6">'Annuale'!$V$56</definedName>
    <definedName name="aum7" localSheetId="10">'Ago'!$AL$57</definedName>
    <definedName name="aum7" localSheetId="6">'Apr'!$AL$57</definedName>
    <definedName name="aum7" localSheetId="15">'Conguaglio'!$V$57</definedName>
    <definedName name="aum7" localSheetId="14">'Dic'!$AL$57</definedName>
    <definedName name="aum7" localSheetId="4">'Feb'!$AL$57</definedName>
    <definedName name="aum7" localSheetId="3">'Gen'!$AL$57</definedName>
    <definedName name="aum7" localSheetId="8">'Giu'!$AL$57</definedName>
    <definedName name="aum7" localSheetId="9">'Lug'!$AL$57</definedName>
    <definedName name="aum7" localSheetId="7">'Mag'!$AL$57</definedName>
    <definedName name="aum7" localSheetId="5">'Mar'!$AL$57</definedName>
    <definedName name="aum7" localSheetId="1">'Mensile'!$AL$57</definedName>
    <definedName name="aum7" localSheetId="13">'Nov'!$AL$57</definedName>
    <definedName name="aum7" localSheetId="12">'Ott'!$AL$57</definedName>
    <definedName name="aum7" localSheetId="11">'Set'!$AL$57</definedName>
    <definedName name="aum7">'Annuale'!$V$57</definedName>
    <definedName name="CNG" localSheetId="10">'Ago'!$T$21</definedName>
    <definedName name="CNG" localSheetId="6">'Apr'!$T$21</definedName>
    <definedName name="CNG" localSheetId="15">'Conguaglio'!$D$21</definedName>
    <definedName name="CNG" localSheetId="14">'Dic'!$T$21</definedName>
    <definedName name="CNG" localSheetId="4">'Feb'!$T$21</definedName>
    <definedName name="CNG" localSheetId="3">'Gen'!$T$21</definedName>
    <definedName name="CNG" localSheetId="8">'Giu'!$T$21</definedName>
    <definedName name="CNG" localSheetId="9">'Lug'!$T$21</definedName>
    <definedName name="CNG" localSheetId="7">'Mag'!$T$21</definedName>
    <definedName name="CNG" localSheetId="5">'Mar'!$T$21</definedName>
    <definedName name="CNG" localSheetId="1">'Mensile'!$T$21</definedName>
    <definedName name="CNG" localSheetId="13">'Nov'!$T$21</definedName>
    <definedName name="CNG" localSheetId="12">'Ott'!$T$21</definedName>
    <definedName name="CNG" localSheetId="11">'Set'!$T$21</definedName>
    <definedName name="CNG">'Annuale'!$D$21</definedName>
    <definedName name="Cng_nn" localSheetId="10">'Ago'!$AH$38</definedName>
    <definedName name="Cng_nn" localSheetId="6">'Apr'!$AH$38</definedName>
    <definedName name="Cng_nn" localSheetId="15">'Conguaglio'!$R$38</definedName>
    <definedName name="Cng_nn" localSheetId="14">'Dic'!$AH$38</definedName>
    <definedName name="Cng_nn" localSheetId="4">'Feb'!$AH$38</definedName>
    <definedName name="Cng_nn" localSheetId="3">'Gen'!$AH$38</definedName>
    <definedName name="Cng_nn" localSheetId="8">'Giu'!$AH$38</definedName>
    <definedName name="Cng_nn" localSheetId="9">'Lug'!$AH$38</definedName>
    <definedName name="Cng_nn" localSheetId="7">'Mag'!$AH$38</definedName>
    <definedName name="Cng_nn" localSheetId="5">'Mar'!$AH$38</definedName>
    <definedName name="Cng_nn" localSheetId="1">'Mensile'!$AH$38</definedName>
    <definedName name="Cng_nn" localSheetId="13">'Nov'!$AH$38</definedName>
    <definedName name="Cng_nn" localSheetId="12">'Ott'!$AH$38</definedName>
    <definedName name="Cng_nn" localSheetId="11">'Set'!$AH$38</definedName>
    <definedName name="Cng_nn">'Annuale'!$R$38</definedName>
    <definedName name="ConDetr" localSheetId="10">'Ago'!$AJ$46:$AL$49</definedName>
    <definedName name="ConDetr" localSheetId="6">'Apr'!$AJ$46:$AL$49</definedName>
    <definedName name="ConDetr" localSheetId="15">'Conguaglio'!$T$46:$V$49</definedName>
    <definedName name="ConDetr" localSheetId="14">'Dic'!$AJ$46:$AL$49</definedName>
    <definedName name="ConDetr" localSheetId="4">'Feb'!$AJ$46:$AL$49</definedName>
    <definedName name="ConDetr" localSheetId="3">'Gen'!$AJ$46:$AL$49</definedName>
    <definedName name="ConDetr" localSheetId="8">'Giu'!$AJ$46:$AL$49</definedName>
    <definedName name="ConDetr" localSheetId="9">'Lug'!$AJ$46:$AL$49</definedName>
    <definedName name="ConDetr" localSheetId="7">'Mag'!$AJ$46:$AL$49</definedName>
    <definedName name="ConDetr" localSheetId="5">'Mar'!$AJ$46:$AL$49</definedName>
    <definedName name="ConDetr" localSheetId="1">'Mensile'!$AJ$46:$AL$49</definedName>
    <definedName name="ConDetr" localSheetId="13">'Nov'!$AJ$46:$AL$49</definedName>
    <definedName name="ConDetr" localSheetId="12">'Ott'!$AJ$46:$AL$49</definedName>
    <definedName name="ConDetr" localSheetId="11">'Set'!$AJ$46:$AL$49</definedName>
    <definedName name="ConDetr">'Annuale'!$T$46:$V$49</definedName>
    <definedName name="Coniuge" localSheetId="10">'Ago'!$AJ$13</definedName>
    <definedName name="Coniuge" localSheetId="6">'Apr'!$AJ$13</definedName>
    <definedName name="Coniuge" localSheetId="15">'Conguaglio'!$T$13</definedName>
    <definedName name="Coniuge" localSheetId="14">'Dic'!$AJ$13</definedName>
    <definedName name="Coniuge" localSheetId="4">'Feb'!$AJ$13</definedName>
    <definedName name="Coniuge" localSheetId="3">'Gen'!$AJ$13</definedName>
    <definedName name="Coniuge" localSheetId="8">'Giu'!$AJ$13</definedName>
    <definedName name="Coniuge" localSheetId="9">'Lug'!$AJ$13</definedName>
    <definedName name="Coniuge" localSheetId="7">'Mag'!$AJ$13</definedName>
    <definedName name="Coniuge" localSheetId="5">'Mar'!$AJ$13</definedName>
    <definedName name="Coniuge" localSheetId="1">'Mensile'!$AJ$13</definedName>
    <definedName name="Coniuge" localSheetId="13">'Nov'!$AJ$13</definedName>
    <definedName name="Coniuge" localSheetId="12">'Ott'!$AJ$13</definedName>
    <definedName name="Coniuge" localSheetId="11">'Set'!$AJ$13</definedName>
    <definedName name="Coniuge">'Annuale'!$T$13</definedName>
    <definedName name="Contributi" localSheetId="10">'Ago'!$AB$18</definedName>
    <definedName name="Contributi" localSheetId="6">'Apr'!$AB$18</definedName>
    <definedName name="Contributi" localSheetId="15">'Conguaglio'!$P$17</definedName>
    <definedName name="Contributi" localSheetId="14">'Dic'!$AB$18</definedName>
    <definedName name="Contributi" localSheetId="4">'Feb'!$AB$18</definedName>
    <definedName name="Contributi" localSheetId="3">'Gen'!$AB$18</definedName>
    <definedName name="Contributi" localSheetId="8">'Giu'!$AB$18</definedName>
    <definedName name="Contributi" localSheetId="9">'Lug'!$AB$18</definedName>
    <definedName name="Contributi" localSheetId="7">'Mag'!$AB$18</definedName>
    <definedName name="Contributi" localSheetId="5">'Mar'!$AB$18</definedName>
    <definedName name="Contributi" localSheetId="1">'Mensile'!$AB$18</definedName>
    <definedName name="Contributi" localSheetId="13">'Nov'!$AB$18</definedName>
    <definedName name="Contributi" localSheetId="12">'Ott'!$AB$18</definedName>
    <definedName name="Contributi" localSheetId="11">'Set'!$AB$18</definedName>
    <definedName name="Contributi">'Annuale'!$L$18</definedName>
    <definedName name="D_Coniuge" localSheetId="10">'Ago'!$AJ$18:$AM$43</definedName>
    <definedName name="D_Coniuge" localSheetId="6">'Apr'!$AJ$18:$AM$43</definedName>
    <definedName name="D_Coniuge" localSheetId="15">'Conguaglio'!$T$18:$W$43</definedName>
    <definedName name="D_Coniuge" localSheetId="14">'Dic'!$AJ$18:$AM$43</definedName>
    <definedName name="D_Coniuge" localSheetId="4">'Feb'!$AJ$18:$AM$43</definedName>
    <definedName name="D_Coniuge" localSheetId="3">'Gen'!$AJ$18:$AM$43</definedName>
    <definedName name="D_Coniuge" localSheetId="8">'Giu'!$AJ$18:$AM$43</definedName>
    <definedName name="D_Coniuge" localSheetId="9">'Lug'!$AJ$18:$AM$43</definedName>
    <definedName name="D_Coniuge" localSheetId="7">'Mag'!$AJ$18:$AM$43</definedName>
    <definedName name="D_Coniuge" localSheetId="5">'Mar'!$AJ$18:$AM$43</definedName>
    <definedName name="D_Coniuge" localSheetId="1">'Mensile'!$AJ$18:$AM$43</definedName>
    <definedName name="D_Coniuge" localSheetId="13">'Nov'!$AJ$18:$AM$43</definedName>
    <definedName name="D_Coniuge" localSheetId="12">'Ott'!$AJ$18:$AM$43</definedName>
    <definedName name="D_Coniuge" localSheetId="11">'Set'!$AJ$18:$AM$43</definedName>
    <definedName name="D_Coniuge">'Annuale'!$T$18:$W$43</definedName>
    <definedName name="De_Con" localSheetId="10">'Ago'!$AJ$19:$AM$43</definedName>
    <definedName name="De_Con" localSheetId="6">'Apr'!$AJ$19:$AM$43</definedName>
    <definedName name="De_Con" localSheetId="15">'Conguaglio'!$T$19:$W$43</definedName>
    <definedName name="De_Con" localSheetId="14">'Dic'!$AJ$19:$AM$43</definedName>
    <definedName name="De_Con" localSheetId="4">'Feb'!$AJ$19:$AM$43</definedName>
    <definedName name="De_Con" localSheetId="3">'Gen'!$AJ$19:$AM$43</definedName>
    <definedName name="De_Con" localSheetId="8">'Giu'!$AJ$19:$AM$43</definedName>
    <definedName name="De_Con" localSheetId="9">'Lug'!$AJ$19:$AM$43</definedName>
    <definedName name="De_Con" localSheetId="7">'Mag'!$AJ$19:$AM$43</definedName>
    <definedName name="De_Con" localSheetId="5">'Mar'!$AJ$19:$AM$43</definedName>
    <definedName name="De_Con" localSheetId="1">'Mensile'!$AJ$19:$AM$43</definedName>
    <definedName name="De_Con" localSheetId="13">'Nov'!$AJ$19:$AM$43</definedName>
    <definedName name="De_Con" localSheetId="12">'Ott'!$AJ$19:$AM$43</definedName>
    <definedName name="De_Con" localSheetId="11">'Set'!$AJ$19:$AM$43</definedName>
    <definedName name="De_Con">'Annuale'!$T$19:$W$43</definedName>
    <definedName name="De_fi_co" localSheetId="10">'Ago'!$AH$9</definedName>
    <definedName name="De_fi_co" localSheetId="6">'Apr'!$AH$9</definedName>
    <definedName name="De_fi_co" localSheetId="15">'Conguaglio'!$R$9</definedName>
    <definedName name="De_fi_co" localSheetId="14">'Dic'!$AH$9</definedName>
    <definedName name="De_fi_co" localSheetId="4">'Feb'!$AH$9</definedName>
    <definedName name="De_fi_co" localSheetId="3">'Gen'!$AH$9</definedName>
    <definedName name="De_fi_co" localSheetId="8">'Giu'!$AH$9</definedName>
    <definedName name="De_fi_co" localSheetId="9">'Lug'!$AH$9</definedName>
    <definedName name="De_fi_co" localSheetId="7">'Mag'!$AH$9</definedName>
    <definedName name="De_fi_co" localSheetId="5">'Mar'!$AH$9</definedName>
    <definedName name="De_fi_co" localSheetId="1">'Mensile'!$AH$9</definedName>
    <definedName name="De_fi_co" localSheetId="13">'Nov'!$AH$9</definedName>
    <definedName name="De_fi_co" localSheetId="12">'Ott'!$AH$9</definedName>
    <definedName name="De_fi_co" localSheetId="11">'Set'!$AH$9</definedName>
    <definedName name="De_fi_co">'Annuale'!$R$9</definedName>
    <definedName name="dealtr" localSheetId="10">'Ago'!#REF!</definedName>
    <definedName name="dealtr" localSheetId="6">'Apr'!#REF!</definedName>
    <definedName name="dealtr" localSheetId="15">'Conguaglio'!#REF!</definedName>
    <definedName name="dealtr" localSheetId="14">'Dic'!#REF!</definedName>
    <definedName name="dealtr" localSheetId="4">'Feb'!#REF!</definedName>
    <definedName name="dealtr" localSheetId="3">'Gen'!#REF!</definedName>
    <definedName name="dealtr" localSheetId="8">'Giu'!#REF!</definedName>
    <definedName name="dealtr" localSheetId="9">'Lug'!#REF!</definedName>
    <definedName name="dealtr" localSheetId="7">'Mag'!#REF!</definedName>
    <definedName name="dealtr" localSheetId="5">'Mar'!#REF!</definedName>
    <definedName name="dealtr" localSheetId="1">'Mensile'!#REF!</definedName>
    <definedName name="dealtr" localSheetId="13">'Nov'!#REF!</definedName>
    <definedName name="dealtr" localSheetId="12">'Ott'!#REF!</definedName>
    <definedName name="dealtr" localSheetId="11">'Set'!#REF!</definedName>
    <definedName name="dealtr">'Annuale'!#REF!</definedName>
    <definedName name="DetrAltre" localSheetId="10">'Ago'!$AL$15</definedName>
    <definedName name="DetrAltre" localSheetId="6">'Apr'!$AL$15</definedName>
    <definedName name="DetrAltre" localSheetId="15">'Conguaglio'!$V$15</definedName>
    <definedName name="DetrAltre" localSheetId="14">'Dic'!$AL$15</definedName>
    <definedName name="DetrAltre" localSheetId="4">'Feb'!$AL$15</definedName>
    <definedName name="DetrAltre" localSheetId="3">'Gen'!$AL$15</definedName>
    <definedName name="DetrAltre" localSheetId="8">'Giu'!$AL$15</definedName>
    <definedName name="DetrAltre" localSheetId="9">'Lug'!$AL$15</definedName>
    <definedName name="DetrAltre" localSheetId="7">'Mag'!$AL$15</definedName>
    <definedName name="DetrAltre" localSheetId="5">'Mar'!$AL$15</definedName>
    <definedName name="DetrAltre" localSheetId="1">'Mensile'!$AL$15</definedName>
    <definedName name="DetrAltre" localSheetId="13">'Nov'!$AL$15</definedName>
    <definedName name="DetrAltre" localSheetId="12">'Ott'!$AL$15</definedName>
    <definedName name="DetrAltre" localSheetId="11">'Set'!$AL$15</definedName>
    <definedName name="DetrAltre">'Annuale'!$V$15</definedName>
    <definedName name="DetrConiuge" localSheetId="10">'Ago'!$AL$13</definedName>
    <definedName name="DetrConiuge" localSheetId="6">'Apr'!$AL$13</definedName>
    <definedName name="DetrConiuge" localSheetId="15">'Conguaglio'!$V$13</definedName>
    <definedName name="DetrConiuge" localSheetId="14">'Dic'!$AL$13</definedName>
    <definedName name="DetrConiuge" localSheetId="4">'Feb'!$AL$13</definedName>
    <definedName name="DetrConiuge" localSheetId="3">'Gen'!$AL$13</definedName>
    <definedName name="DetrConiuge" localSheetId="8">'Giu'!$AL$13</definedName>
    <definedName name="DetrConiuge" localSheetId="9">'Lug'!$AL$13</definedName>
    <definedName name="DetrConiuge" localSheetId="7">'Mag'!$AL$13</definedName>
    <definedName name="DetrConiuge" localSheetId="5">'Mar'!$AL$13</definedName>
    <definedName name="DetrConiuge" localSheetId="1">'Mensile'!$AL$13</definedName>
    <definedName name="DetrConiuge" localSheetId="13">'Nov'!$AL$13</definedName>
    <definedName name="DetrConiuge" localSheetId="12">'Ott'!$AL$13</definedName>
    <definedName name="DetrConiuge" localSheetId="11">'Set'!$AL$13</definedName>
    <definedName name="DetrConiuge">'Annuale'!$V$13</definedName>
    <definedName name="DetrFigli" localSheetId="10">'Ago'!$AL$14</definedName>
    <definedName name="DetrFigli" localSheetId="6">'Apr'!$AL$14</definedName>
    <definedName name="DetrFigli" localSheetId="15">'Conguaglio'!$V$14</definedName>
    <definedName name="DetrFigli" localSheetId="14">'Dic'!$AL$14</definedName>
    <definedName name="DetrFigli" localSheetId="4">'Feb'!$AL$14</definedName>
    <definedName name="DetrFigli" localSheetId="3">'Gen'!$AL$14</definedName>
    <definedName name="DetrFigli" localSheetId="8">'Giu'!$AL$14</definedName>
    <definedName name="DetrFigli" localSheetId="9">'Lug'!$AL$14</definedName>
    <definedName name="DetrFigli" localSheetId="7">'Mag'!$AL$14</definedName>
    <definedName name="DetrFigli" localSheetId="5">'Mar'!$AL$14</definedName>
    <definedName name="DetrFigli" localSheetId="1">'Mensile'!$AL$14</definedName>
    <definedName name="DetrFigli" localSheetId="13">'Nov'!$AL$14</definedName>
    <definedName name="DetrFigli" localSheetId="12">'Ott'!$AL$14</definedName>
    <definedName name="DetrFigli" localSheetId="11">'Set'!$AL$14</definedName>
    <definedName name="DetrFigli">'Annuale'!$V$14</definedName>
    <definedName name="DetrRid" localSheetId="10">'Ago'!$AM$13</definedName>
    <definedName name="DetrRid" localSheetId="6">'Apr'!$AM$13</definedName>
    <definedName name="DetrRid" localSheetId="15">'Conguaglio'!$W$13</definedName>
    <definedName name="DetrRid" localSheetId="14">'Dic'!$AM$13</definedName>
    <definedName name="DetrRid" localSheetId="4">'Feb'!$AM$13</definedName>
    <definedName name="DetrRid" localSheetId="3">'Gen'!$AM$13</definedName>
    <definedName name="DetrRid" localSheetId="8">'Giu'!$AM$13</definedName>
    <definedName name="DetrRid" localSheetId="9">'Lug'!$AM$13</definedName>
    <definedName name="DetrRid" localSheetId="7">'Mag'!$AM$13</definedName>
    <definedName name="DetrRid" localSheetId="5">'Mar'!$AM$13</definedName>
    <definedName name="DetrRid" localSheetId="1">'Mensile'!$AM$13</definedName>
    <definedName name="DetrRid" localSheetId="13">'Nov'!$AM$13</definedName>
    <definedName name="DetrRid" localSheetId="12">'Ott'!$AM$13</definedName>
    <definedName name="DetrRid" localSheetId="11">'Set'!$AM$13</definedName>
    <definedName name="DetrRid">'Annuale'!$W$13</definedName>
    <definedName name="dsaltri" localSheetId="10">'Ago'!$AL$66</definedName>
    <definedName name="dsaltri" localSheetId="6">'Apr'!$AL$66</definedName>
    <definedName name="dsaltri" localSheetId="15">'Conguaglio'!$V$66</definedName>
    <definedName name="dsaltri" localSheetId="14">'Dic'!$AL$66</definedName>
    <definedName name="dsaltri" localSheetId="4">'Feb'!$AL$66</definedName>
    <definedName name="dsaltri" localSheetId="3">'Gen'!$AL$66</definedName>
    <definedName name="dsaltri" localSheetId="8">'Giu'!$AL$66</definedName>
    <definedName name="dsaltri" localSheetId="9">'Lug'!$AL$66</definedName>
    <definedName name="dsaltri" localSheetId="7">'Mag'!$AL$66</definedName>
    <definedName name="dsaltri" localSheetId="5">'Mar'!$AL$66</definedName>
    <definedName name="dsaltri" localSheetId="1">'Mensile'!$AL$66</definedName>
    <definedName name="dsaltri" localSheetId="13">'Nov'!$AL$66</definedName>
    <definedName name="dsaltri" localSheetId="12">'Ott'!$AL$66</definedName>
    <definedName name="dsaltri" localSheetId="11">'Set'!$AL$66</definedName>
    <definedName name="dsaltri">'Annuale'!$V$66</definedName>
    <definedName name="dsco" localSheetId="10">'Ago'!$AL$46</definedName>
    <definedName name="dsco" localSheetId="6">'Apr'!$AL$46</definedName>
    <definedName name="dsco" localSheetId="15">'Conguaglio'!$V$46</definedName>
    <definedName name="dsco" localSheetId="14">'Dic'!$AL$46</definedName>
    <definedName name="dsco" localSheetId="4">'Feb'!$AL$46</definedName>
    <definedName name="dsco" localSheetId="3">'Gen'!$AL$46</definedName>
    <definedName name="dsco" localSheetId="8">'Giu'!$AL$46</definedName>
    <definedName name="dsco" localSheetId="9">'Lug'!$AL$46</definedName>
    <definedName name="dsco" localSheetId="7">'Mag'!$AL$46</definedName>
    <definedName name="dsco" localSheetId="5">'Mar'!$AL$46</definedName>
    <definedName name="dsco" localSheetId="1">'Mensile'!$AL$46</definedName>
    <definedName name="dsco" localSheetId="13">'Nov'!$AL$46</definedName>
    <definedName name="dsco" localSheetId="12">'Ott'!$AL$46</definedName>
    <definedName name="dsco" localSheetId="11">'Set'!$AL$46</definedName>
    <definedName name="dsco">'Annuale'!$V$46</definedName>
    <definedName name="dsco15" localSheetId="10">'Ago'!$AL$47</definedName>
    <definedName name="dsco15" localSheetId="6">'Apr'!$AL$47</definedName>
    <definedName name="dsco15" localSheetId="15">'Conguaglio'!$V$47</definedName>
    <definedName name="dsco15" localSheetId="14">'Dic'!$AL$47</definedName>
    <definedName name="dsco15" localSheetId="4">'Feb'!$AL$47</definedName>
    <definedName name="dsco15" localSheetId="3">'Gen'!$AL$47</definedName>
    <definedName name="dsco15" localSheetId="8">'Giu'!$AL$47</definedName>
    <definedName name="dsco15" localSheetId="9">'Lug'!$AL$47</definedName>
    <definedName name="dsco15" localSheetId="7">'Mag'!$AL$47</definedName>
    <definedName name="dsco15" localSheetId="5">'Mar'!$AL$47</definedName>
    <definedName name="dsco15" localSheetId="1">'Mensile'!$AL$47</definedName>
    <definedName name="dsco15" localSheetId="13">'Nov'!$AL$47</definedName>
    <definedName name="dsco15" localSheetId="12">'Ott'!$AL$47</definedName>
    <definedName name="dsco15" localSheetId="11">'Set'!$AL$47</definedName>
    <definedName name="dsco15">'Annuale'!$V$47</definedName>
    <definedName name="dsco40" localSheetId="10">'Ago'!$AL$48</definedName>
    <definedName name="dsco40" localSheetId="6">'Apr'!$AL$48</definedName>
    <definedName name="dsco40" localSheetId="15">'Conguaglio'!$V$48</definedName>
    <definedName name="dsco40" localSheetId="14">'Dic'!$AL$48</definedName>
    <definedName name="dsco40" localSheetId="4">'Feb'!$AL$48</definedName>
    <definedName name="dsco40" localSheetId="3">'Gen'!$AL$48</definedName>
    <definedName name="dsco40" localSheetId="8">'Giu'!$AL$48</definedName>
    <definedName name="dsco40" localSheetId="9">'Lug'!$AL$48</definedName>
    <definedName name="dsco40" localSheetId="7">'Mag'!$AL$48</definedName>
    <definedName name="dsco40" localSheetId="5">'Mar'!$AL$48</definedName>
    <definedName name="dsco40" localSheetId="1">'Mensile'!$AL$48</definedName>
    <definedName name="dsco40" localSheetId="13">'Nov'!$AL$48</definedName>
    <definedName name="dsco40" localSheetId="12">'Ott'!$AL$48</definedName>
    <definedName name="dsco40" localSheetId="11">'Set'!$AL$48</definedName>
    <definedName name="dsco40">'Annuale'!$V$48</definedName>
    <definedName name="dsco80" localSheetId="10">'Ago'!$AL$49</definedName>
    <definedName name="dsco80" localSheetId="6">'Apr'!$AL$49</definedName>
    <definedName name="dsco80" localSheetId="15">'Conguaglio'!$V$49</definedName>
    <definedName name="dsco80" localSheetId="14">'Dic'!$AL$49</definedName>
    <definedName name="dsco80" localSheetId="4">'Feb'!$AL$49</definedName>
    <definedName name="dsco80" localSheetId="3">'Gen'!$AL$49</definedName>
    <definedName name="dsco80" localSheetId="8">'Giu'!$AL$49</definedName>
    <definedName name="dsco80" localSheetId="9">'Lug'!$AL$49</definedName>
    <definedName name="dsco80" localSheetId="7">'Mag'!$AL$49</definedName>
    <definedName name="dsco80" localSheetId="5">'Mar'!$AL$49</definedName>
    <definedName name="dsco80" localSheetId="1">'Mensile'!$AL$49</definedName>
    <definedName name="dsco80" localSheetId="13">'Nov'!$AL$49</definedName>
    <definedName name="dsco80" localSheetId="12">'Ott'!$AL$49</definedName>
    <definedName name="dsco80" localSheetId="11">'Set'!$AL$49</definedName>
    <definedName name="dsco80">'Annuale'!$V$49</definedName>
    <definedName name="dsfg3" localSheetId="10">'Ago'!$AL$63</definedName>
    <definedName name="dsfg3" localSheetId="6">'Apr'!$AL$63</definedName>
    <definedName name="dsfg3" localSheetId="15">'Conguaglio'!$V$63</definedName>
    <definedName name="dsfg3" localSheetId="14">'Dic'!$AL$63</definedName>
    <definedName name="dsfg3" localSheetId="4">'Feb'!$AL$63</definedName>
    <definedName name="dsfg3" localSheetId="3">'Gen'!$AL$63</definedName>
    <definedName name="dsfg3" localSheetId="8">'Giu'!$AL$63</definedName>
    <definedName name="dsfg3" localSheetId="9">'Lug'!$AL$63</definedName>
    <definedName name="dsfg3" localSheetId="7">'Mag'!$AL$63</definedName>
    <definedName name="dsfg3" localSheetId="5">'Mar'!$AL$63</definedName>
    <definedName name="dsfg3" localSheetId="1">'Mensile'!$AL$63</definedName>
    <definedName name="dsfg3" localSheetId="13">'Nov'!$AL$63</definedName>
    <definedName name="dsfg3" localSheetId="12">'Ott'!$AL$63</definedName>
    <definedName name="dsfg3" localSheetId="11">'Set'!$AL$63</definedName>
    <definedName name="dsfg3">'Annuale'!$V$63</definedName>
    <definedName name="dsfhc" localSheetId="10">'Ago'!$AL$64</definedName>
    <definedName name="dsfhc" localSheetId="6">'Apr'!$AL$64</definedName>
    <definedName name="dsfhc" localSheetId="15">'Conguaglio'!$V$64</definedName>
    <definedName name="dsfhc" localSheetId="14">'Dic'!$AL$64</definedName>
    <definedName name="dsfhc" localSheetId="4">'Feb'!$AL$64</definedName>
    <definedName name="dsfhc" localSheetId="3">'Gen'!$AL$64</definedName>
    <definedName name="dsfhc" localSheetId="8">'Giu'!$AL$64</definedName>
    <definedName name="dsfhc" localSheetId="9">'Lug'!$AL$64</definedName>
    <definedName name="dsfhc" localSheetId="7">'Mag'!$AL$64</definedName>
    <definedName name="dsfhc" localSheetId="5">'Mar'!$AL$64</definedName>
    <definedName name="dsfhc" localSheetId="1">'Mensile'!$AL$64</definedName>
    <definedName name="dsfhc" localSheetId="13">'Nov'!$AL$64</definedName>
    <definedName name="dsfhc" localSheetId="12">'Ott'!$AL$64</definedName>
    <definedName name="dsfhc" localSheetId="11">'Set'!$AL$64</definedName>
    <definedName name="dsfhc">'Annuale'!$V$64</definedName>
    <definedName name="dsfig" localSheetId="10">'Ago'!$AL$62</definedName>
    <definedName name="dsfig" localSheetId="6">'Apr'!$AL$62</definedName>
    <definedName name="dsfig" localSheetId="15">'Conguaglio'!$V$62</definedName>
    <definedName name="dsfig" localSheetId="14">'Dic'!$AL$62</definedName>
    <definedName name="dsfig" localSheetId="4">'Feb'!$AL$62</definedName>
    <definedName name="dsfig" localSheetId="3">'Gen'!$AL$62</definedName>
    <definedName name="dsfig" localSheetId="8">'Giu'!$AL$62</definedName>
    <definedName name="dsfig" localSheetId="9">'Lug'!$AL$62</definedName>
    <definedName name="dsfig" localSheetId="7">'Mag'!$AL$62</definedName>
    <definedName name="dsfig" localSheetId="5">'Mar'!$AL$62</definedName>
    <definedName name="dsfig" localSheetId="1">'Mensile'!$AL$62</definedName>
    <definedName name="dsfig" localSheetId="13">'Nov'!$AL$62</definedName>
    <definedName name="dsfig" localSheetId="12">'Ott'!$AL$62</definedName>
    <definedName name="dsfig" localSheetId="11">'Set'!$AL$62</definedName>
    <definedName name="dsfig">'Annuale'!$V$62</definedName>
    <definedName name="Fac" localSheetId="10">'Ago'!#REF!</definedName>
    <definedName name="Fac" localSheetId="6">'Apr'!#REF!</definedName>
    <definedName name="Fac" localSheetId="15">'Conguaglio'!#REF!</definedName>
    <definedName name="Fac" localSheetId="14">'Dic'!#REF!</definedName>
    <definedName name="Fac" localSheetId="4">'Feb'!#REF!</definedName>
    <definedName name="Fac" localSheetId="3">'Gen'!#REF!</definedName>
    <definedName name="Fac" localSheetId="8">'Giu'!#REF!</definedName>
    <definedName name="Fac" localSheetId="9">'Lug'!#REF!</definedName>
    <definedName name="Fac" localSheetId="7">'Mag'!#REF!</definedName>
    <definedName name="Fac" localSheetId="5">'Mar'!#REF!</definedName>
    <definedName name="Fac" localSheetId="1">'Mensile'!#REF!</definedName>
    <definedName name="Fac" localSheetId="13">'Nov'!#REF!</definedName>
    <definedName name="Fac" localSheetId="12">'Ott'!#REF!</definedName>
    <definedName name="Fac" localSheetId="11">'Set'!#REF!</definedName>
    <definedName name="Fac">'Annuale'!#REF!</definedName>
    <definedName name="Fg1_as_cn" localSheetId="10">'Ago'!$AH$42</definedName>
    <definedName name="Fg1_as_cn" localSheetId="6">'Apr'!$AH$42</definedName>
    <definedName name="Fg1_as_cn" localSheetId="15">'Conguaglio'!$R$42</definedName>
    <definedName name="Fg1_as_cn" localSheetId="14">'Dic'!$AH$42</definedName>
    <definedName name="Fg1_as_cn" localSheetId="4">'Feb'!$AH$42</definedName>
    <definedName name="Fg1_as_cn" localSheetId="3">'Gen'!$AH$42</definedName>
    <definedName name="Fg1_as_cn" localSheetId="8">'Giu'!$AH$42</definedName>
    <definedName name="Fg1_as_cn" localSheetId="9">'Lug'!$AH$42</definedName>
    <definedName name="Fg1_as_cn" localSheetId="7">'Mag'!$AH$42</definedName>
    <definedName name="Fg1_as_cn" localSheetId="5">'Mar'!$AH$42</definedName>
    <definedName name="Fg1_as_cn" localSheetId="1">'Mensile'!$AH$42</definedName>
    <definedName name="Fg1_as_cn" localSheetId="13">'Nov'!$AH$42</definedName>
    <definedName name="Fg1_as_cn" localSheetId="12">'Ott'!$AH$42</definedName>
    <definedName name="Fg1_as_cn" localSheetId="11">'Set'!$AH$42</definedName>
    <definedName name="Fg1_as_cn">'Annuale'!$R$42</definedName>
    <definedName name="fgl" localSheetId="10">'Ago'!$AJ$62</definedName>
    <definedName name="fgl" localSheetId="6">'Apr'!$AJ$62</definedName>
    <definedName name="fgl" localSheetId="15">'Conguaglio'!$T$62</definedName>
    <definedName name="fgl" localSheetId="14">'Dic'!$AJ$62</definedName>
    <definedName name="fgl" localSheetId="4">'Feb'!$AJ$62</definedName>
    <definedName name="fgl" localSheetId="3">'Gen'!$AJ$62</definedName>
    <definedName name="fgl" localSheetId="8">'Giu'!$AJ$62</definedName>
    <definedName name="fgl" localSheetId="9">'Lug'!$AJ$62</definedName>
    <definedName name="fgl" localSheetId="7">'Mag'!$AJ$62</definedName>
    <definedName name="fgl" localSheetId="5">'Mar'!$AJ$62</definedName>
    <definedName name="fgl" localSheetId="1">'Mensile'!$AJ$62</definedName>
    <definedName name="fgl" localSheetId="13">'Nov'!$AJ$62</definedName>
    <definedName name="fgl" localSheetId="12">'Ott'!$AJ$62</definedName>
    <definedName name="fgl" localSheetId="11">'Set'!$AJ$62</definedName>
    <definedName name="fgl">'Annuale'!$T$62</definedName>
    <definedName name="fgl3" localSheetId="10">'Ago'!$AJ$63</definedName>
    <definedName name="fgl3" localSheetId="6">'Apr'!$AJ$63</definedName>
    <definedName name="fgl3" localSheetId="15">'Conguaglio'!$T$63</definedName>
    <definedName name="fgl3" localSheetId="14">'Dic'!$AJ$63</definedName>
    <definedName name="fgl3" localSheetId="4">'Feb'!$AJ$63</definedName>
    <definedName name="fgl3" localSheetId="3">'Gen'!$AJ$63</definedName>
    <definedName name="fgl3" localSheetId="8">'Giu'!$AJ$63</definedName>
    <definedName name="fgl3" localSheetId="9">'Lug'!$AJ$63</definedName>
    <definedName name="fgl3" localSheetId="7">'Mag'!$AJ$63</definedName>
    <definedName name="fgl3" localSheetId="5">'Mar'!$AJ$63</definedName>
    <definedName name="fgl3" localSheetId="1">'Mensile'!$AJ$63</definedName>
    <definedName name="fgl3" localSheetId="13">'Nov'!$AJ$63</definedName>
    <definedName name="fgl3" localSheetId="12">'Ott'!$AJ$63</definedName>
    <definedName name="fgl3" localSheetId="11">'Set'!$AJ$63</definedName>
    <definedName name="fgl3">'Annuale'!$T$63</definedName>
    <definedName name="fglh" localSheetId="10">'Ago'!$AJ$64</definedName>
    <definedName name="fglh" localSheetId="6">'Apr'!$AJ$64</definedName>
    <definedName name="fglh" localSheetId="15">'Conguaglio'!$T$64</definedName>
    <definedName name="fglh" localSheetId="14">'Dic'!$AJ$64</definedName>
    <definedName name="fglh" localSheetId="4">'Feb'!$AJ$64</definedName>
    <definedName name="fglh" localSheetId="3">'Gen'!$AJ$64</definedName>
    <definedName name="fglh" localSheetId="8">'Giu'!$AJ$64</definedName>
    <definedName name="fglh" localSheetId="9">'Lug'!$AJ$64</definedName>
    <definedName name="fglh" localSheetId="7">'Mag'!$AJ$64</definedName>
    <definedName name="fglh" localSheetId="5">'Mar'!$AJ$64</definedName>
    <definedName name="fglh" localSheetId="1">'Mensile'!$AJ$64</definedName>
    <definedName name="fglh" localSheetId="13">'Nov'!$AJ$64</definedName>
    <definedName name="fglh" localSheetId="12">'Ott'!$AJ$64</definedName>
    <definedName name="fglh" localSheetId="11">'Set'!$AJ$64</definedName>
    <definedName name="fglh">'Annuale'!$T$64</definedName>
    <definedName name="Fhcp" localSheetId="10">'Ago'!#REF!</definedName>
    <definedName name="Fhcp" localSheetId="6">'Apr'!#REF!</definedName>
    <definedName name="Fhcp" localSheetId="15">'Conguaglio'!#REF!</definedName>
    <definedName name="Fhcp" localSheetId="14">'Dic'!#REF!</definedName>
    <definedName name="Fhcp" localSheetId="4">'Feb'!#REF!</definedName>
    <definedName name="Fhcp" localSheetId="3">'Gen'!#REF!</definedName>
    <definedName name="Fhcp" localSheetId="8">'Giu'!#REF!</definedName>
    <definedName name="Fhcp" localSheetId="9">'Lug'!#REF!</definedName>
    <definedName name="Fhcp" localSheetId="7">'Mag'!#REF!</definedName>
    <definedName name="Fhcp" localSheetId="5">'Mar'!#REF!</definedName>
    <definedName name="Fhcp" localSheetId="1">'Mensile'!#REF!</definedName>
    <definedName name="Fhcp" localSheetId="13">'Nov'!#REF!</definedName>
    <definedName name="Fhcp" localSheetId="12">'Ott'!#REF!</definedName>
    <definedName name="Fhcp" localSheetId="11">'Set'!#REF!</definedName>
    <definedName name="Fhcp">'Annuale'!#REF!</definedName>
    <definedName name="Fig" localSheetId="10">'Ago'!#REF!</definedName>
    <definedName name="Fig" localSheetId="6">'Apr'!#REF!</definedName>
    <definedName name="Fig" localSheetId="15">'Conguaglio'!#REF!</definedName>
    <definedName name="Fig" localSheetId="14">'Dic'!#REF!</definedName>
    <definedName name="Fig" localSheetId="4">'Feb'!#REF!</definedName>
    <definedName name="Fig" localSheetId="3">'Gen'!#REF!</definedName>
    <definedName name="Fig" localSheetId="8">'Giu'!#REF!</definedName>
    <definedName name="Fig" localSheetId="9">'Lug'!#REF!</definedName>
    <definedName name="Fig" localSheetId="7">'Mag'!#REF!</definedName>
    <definedName name="Fig" localSheetId="5">'Mar'!#REF!</definedName>
    <definedName name="Fig" localSheetId="1">'Mensile'!#REF!</definedName>
    <definedName name="Fig" localSheetId="13">'Nov'!#REF!</definedName>
    <definedName name="Fig" localSheetId="12">'Ott'!#REF!</definedName>
    <definedName name="Fig" localSheetId="11">'Set'!#REF!</definedName>
    <definedName name="Fig">'Annuale'!#REF!</definedName>
    <definedName name="Fig3" localSheetId="10">'Ago'!#REF!</definedName>
    <definedName name="Fig3" localSheetId="6">'Apr'!#REF!</definedName>
    <definedName name="Fig3" localSheetId="15">'Conguaglio'!#REF!</definedName>
    <definedName name="Fig3" localSheetId="14">'Dic'!#REF!</definedName>
    <definedName name="Fig3" localSheetId="4">'Feb'!#REF!</definedName>
    <definedName name="Fig3" localSheetId="3">'Gen'!#REF!</definedName>
    <definedName name="Fig3" localSheetId="8">'Giu'!#REF!</definedName>
    <definedName name="Fig3" localSheetId="9">'Lug'!#REF!</definedName>
    <definedName name="Fig3" localSheetId="7">'Mag'!#REF!</definedName>
    <definedName name="Fig3" localSheetId="5">'Mar'!#REF!</definedName>
    <definedName name="Fig3" localSheetId="1">'Mensile'!#REF!</definedName>
    <definedName name="Fig3" localSheetId="13">'Nov'!#REF!</definedName>
    <definedName name="Fig3" localSheetId="12">'Ott'!#REF!</definedName>
    <definedName name="Fig3" localSheetId="11">'Set'!#REF!</definedName>
    <definedName name="Fig3">'Annuale'!#REF!</definedName>
    <definedName name="Figlio" localSheetId="10">'Ago'!$AJ$14</definedName>
    <definedName name="Figlio" localSheetId="6">'Apr'!$AJ$14</definedName>
    <definedName name="Figlio" localSheetId="15">'Conguaglio'!$T$14</definedName>
    <definedName name="Figlio" localSheetId="14">'Dic'!$AJ$14</definedName>
    <definedName name="Figlio" localSheetId="4">'Feb'!$AJ$14</definedName>
    <definedName name="Figlio" localSheetId="3">'Gen'!$AJ$14</definedName>
    <definedName name="Figlio" localSheetId="8">'Giu'!$AJ$14</definedName>
    <definedName name="Figlio" localSheetId="9">'Lug'!$AJ$14</definedName>
    <definedName name="Figlio" localSheetId="7">'Mag'!$AJ$14</definedName>
    <definedName name="Figlio" localSheetId="5">'Mar'!$AJ$14</definedName>
    <definedName name="Figlio" localSheetId="1">'Mensile'!$AJ$14</definedName>
    <definedName name="Figlio" localSheetId="13">'Nov'!$AJ$14</definedName>
    <definedName name="Figlio" localSheetId="12">'Ott'!$AJ$14</definedName>
    <definedName name="Figlio" localSheetId="11">'Set'!$AJ$14</definedName>
    <definedName name="Figlio">'Annuale'!$T$14</definedName>
    <definedName name="Gratif_Anno" localSheetId="10">'Ago'!$AF$18</definedName>
    <definedName name="Gratif_Anno" localSheetId="6">'Apr'!$AF$18</definedName>
    <definedName name="Gratif_Anno" localSheetId="14">'Dic'!$AF$18</definedName>
    <definedName name="Gratif_Anno" localSheetId="4">'Feb'!$AF$18</definedName>
    <definedName name="Gratif_Anno" localSheetId="3">'Gen'!$AF$18</definedName>
    <definedName name="Gratif_Anno" localSheetId="8">'Giu'!$AF$18</definedName>
    <definedName name="Gratif_Anno" localSheetId="9">'Lug'!$AF$18</definedName>
    <definedName name="Gratif_Anno" localSheetId="7">'Mag'!$AF$18</definedName>
    <definedName name="Gratif_Anno" localSheetId="5">'Mar'!$AF$18</definedName>
    <definedName name="Gratif_Anno" localSheetId="1">'Mensile'!$AF$18</definedName>
    <definedName name="Gratif_Anno" localSheetId="13">'Nov'!$AF$18</definedName>
    <definedName name="Gratif_Anno" localSheetId="12">'Ott'!$AF$18</definedName>
    <definedName name="Gratif_Anno" localSheetId="11">'Set'!$AF$18</definedName>
    <definedName name="Gratif_Anno">#REF!</definedName>
    <definedName name="ImFisFin" localSheetId="10">'Ago'!$AM$60</definedName>
    <definedName name="ImFisFin" localSheetId="6">'Apr'!$AM$60</definedName>
    <definedName name="ImFisFin" localSheetId="15">'Conguaglio'!$W$60</definedName>
    <definedName name="ImFisFin" localSheetId="14">'Dic'!$AM$60</definedName>
    <definedName name="ImFisFin" localSheetId="4">'Feb'!$AM$60</definedName>
    <definedName name="ImFisFin" localSheetId="3">'Gen'!$AM$60</definedName>
    <definedName name="ImFisFin" localSheetId="8">'Giu'!$AM$60</definedName>
    <definedName name="ImFisFin" localSheetId="9">'Lug'!$AM$60</definedName>
    <definedName name="ImFisFin" localSheetId="7">'Mag'!$AM$60</definedName>
    <definedName name="ImFisFin" localSheetId="5">'Mar'!$AM$60</definedName>
    <definedName name="ImFisFin" localSheetId="1">'Mensile'!$AM$60</definedName>
    <definedName name="ImFisFin" localSheetId="13">'Nov'!$AM$60</definedName>
    <definedName name="ImFisFin" localSheetId="12">'Ott'!$AM$60</definedName>
    <definedName name="ImFisFin" localSheetId="11">'Set'!$AM$60</definedName>
    <definedName name="ImFisFin">'Annuale'!$W$60</definedName>
    <definedName name="inc_imf" localSheetId="10">'Ago'!$AL$60</definedName>
    <definedName name="inc_imf" localSheetId="6">'Apr'!$AL$60</definedName>
    <definedName name="inc_imf" localSheetId="15">'Conguaglio'!$V$60</definedName>
    <definedName name="inc_imf" localSheetId="14">'Dic'!$AL$60</definedName>
    <definedName name="inc_imf" localSheetId="4">'Feb'!$AL$60</definedName>
    <definedName name="inc_imf" localSheetId="3">'Gen'!$AL$60</definedName>
    <definedName name="inc_imf" localSheetId="8">'Giu'!$AL$60</definedName>
    <definedName name="inc_imf" localSheetId="9">'Lug'!$AL$60</definedName>
    <definedName name="inc_imf" localSheetId="7">'Mag'!$AL$60</definedName>
    <definedName name="inc_imf" localSheetId="5">'Mar'!$AL$60</definedName>
    <definedName name="inc_imf" localSheetId="1">'Mensile'!$AL$60</definedName>
    <definedName name="inc_imf" localSheetId="13">'Nov'!$AL$60</definedName>
    <definedName name="inc_imf" localSheetId="12">'Ott'!$AL$60</definedName>
    <definedName name="inc_imf" localSheetId="11">'Set'!$AL$60</definedName>
    <definedName name="inc_imf">'Annuale'!$V$60</definedName>
    <definedName name="Ind" localSheetId="10">'Ago'!$AN$13</definedName>
    <definedName name="Ind" localSheetId="6">'Apr'!$AN$13</definedName>
    <definedName name="Ind" localSheetId="15">'Conguaglio'!$X$13</definedName>
    <definedName name="Ind" localSheetId="14">'Dic'!$AN$13</definedName>
    <definedName name="Ind" localSheetId="4">'Feb'!$AN$13</definedName>
    <definedName name="Ind" localSheetId="3">'Gen'!$AN$13</definedName>
    <definedName name="Ind" localSheetId="8">'Giu'!$AN$13</definedName>
    <definedName name="Ind" localSheetId="9">'Lug'!$AN$13</definedName>
    <definedName name="Ind" localSheetId="7">'Mag'!$AN$13</definedName>
    <definedName name="Ind" localSheetId="5">'Mar'!$AN$13</definedName>
    <definedName name="Ind" localSheetId="1">'Mensile'!$AN$13</definedName>
    <definedName name="Ind" localSheetId="13">'Nov'!$AN$13</definedName>
    <definedName name="Ind" localSheetId="12">'Ott'!$AN$13</definedName>
    <definedName name="Ind" localSheetId="11">'Set'!$AN$13</definedName>
    <definedName name="Ind">'Annuale'!$X$13</definedName>
    <definedName name="IndRapp" localSheetId="10">'Ago'!$AM$62:$AN$65</definedName>
    <definedName name="IndRapp" localSheetId="6">'Apr'!$AM$62:$AN$65</definedName>
    <definedName name="IndRapp" localSheetId="15">'Conguaglio'!$W$62:$X$65</definedName>
    <definedName name="IndRapp" localSheetId="14">'Dic'!$AM$62:$AN$65</definedName>
    <definedName name="IndRapp" localSheetId="4">'Feb'!$AM$62:$AN$65</definedName>
    <definedName name="IndRapp" localSheetId="3">'Gen'!$AM$62:$AN$65</definedName>
    <definedName name="IndRapp" localSheetId="8">'Giu'!$AM$62:$AN$65</definedName>
    <definedName name="IndRapp" localSheetId="9">'Lug'!$AM$62:$AN$65</definedName>
    <definedName name="IndRapp" localSheetId="7">'Mag'!$AM$62:$AN$65</definedName>
    <definedName name="IndRapp" localSheetId="5">'Mar'!$AM$62:$AN$65</definedName>
    <definedName name="IndRapp" localSheetId="1">'Mensile'!$AM$62:$AN$65</definedName>
    <definedName name="IndRapp" localSheetId="13">'Nov'!$AM$62:$AN$65</definedName>
    <definedName name="IndRapp" localSheetId="12">'Ott'!$AM$62:$AN$65</definedName>
    <definedName name="IndRapp" localSheetId="11">'Set'!$AM$62:$AN$65</definedName>
    <definedName name="IndRapp">'Annuale'!$W$62:$X$65</definedName>
    <definedName name="Ire" localSheetId="10">'Ago'!$AE$49</definedName>
    <definedName name="Ire" localSheetId="6">'Apr'!$AE$49</definedName>
    <definedName name="Ire" localSheetId="15">'Conguaglio'!$O$49</definedName>
    <definedName name="Ire" localSheetId="14">'Dic'!$AE$49</definedName>
    <definedName name="Ire" localSheetId="4">'Feb'!$AE$49</definedName>
    <definedName name="Ire" localSheetId="3">'Gen'!$AE$49</definedName>
    <definedName name="Ire" localSheetId="8">'Giu'!$AE$49</definedName>
    <definedName name="Ire" localSheetId="9">'Lug'!$AE$49</definedName>
    <definedName name="Ire" localSheetId="7">'Mag'!$AE$49</definedName>
    <definedName name="Ire" localSheetId="5">'Mar'!$AE$49</definedName>
    <definedName name="Ire" localSheetId="1">'Mensile'!$AE$49</definedName>
    <definedName name="Ire" localSheetId="13">'Nov'!$AE$49</definedName>
    <definedName name="Ire" localSheetId="12">'Ott'!$AE$49</definedName>
    <definedName name="Ire" localSheetId="11">'Set'!$AE$49</definedName>
    <definedName name="Ire">'Annuale'!$O$49</definedName>
    <definedName name="IreTab" localSheetId="10">'Ago'!$AE$47</definedName>
    <definedName name="IreTab" localSheetId="6">'Apr'!$AE$47</definedName>
    <definedName name="IreTab" localSheetId="15">'Conguaglio'!$O$47</definedName>
    <definedName name="IreTab" localSheetId="14">'Dic'!$AE$47</definedName>
    <definedName name="IreTab" localSheetId="4">'Feb'!$AE$47</definedName>
    <definedName name="IreTab" localSheetId="3">'Gen'!$AE$47</definedName>
    <definedName name="IreTab" localSheetId="8">'Giu'!$AE$47</definedName>
    <definedName name="IreTab" localSheetId="9">'Lug'!$AE$47</definedName>
    <definedName name="IreTab" localSheetId="7">'Mag'!$AE$47</definedName>
    <definedName name="IreTab" localSheetId="5">'Mar'!$AE$47</definedName>
    <definedName name="IreTab" localSheetId="1">'Mensile'!$AE$47</definedName>
    <definedName name="IreTab" localSheetId="13">'Nov'!$AE$47</definedName>
    <definedName name="IreTab" localSheetId="12">'Ott'!$AE$47</definedName>
    <definedName name="IreTab" localSheetId="11">'Set'!$AE$47</definedName>
    <definedName name="IreTab">'Annuale'!$O$47</definedName>
    <definedName name="LettB" localSheetId="10">'Ago'!$AJ$51:$AL$57</definedName>
    <definedName name="LettB" localSheetId="6">'Apr'!$AJ$51:$AL$57</definedName>
    <definedName name="LettB" localSheetId="15">'Conguaglio'!$T$51:$V$57</definedName>
    <definedName name="LettB" localSheetId="14">'Dic'!$AJ$51:$AL$57</definedName>
    <definedName name="LettB" localSheetId="4">'Feb'!$AJ$51:$AL$57</definedName>
    <definedName name="LettB" localSheetId="3">'Gen'!$AJ$51:$AL$57</definedName>
    <definedName name="LettB" localSheetId="8">'Giu'!$AJ$51:$AL$57</definedName>
    <definedName name="LettB" localSheetId="9">'Lug'!$AJ$51:$AL$57</definedName>
    <definedName name="LettB" localSheetId="7">'Mag'!$AJ$51:$AL$57</definedName>
    <definedName name="LettB" localSheetId="5">'Mar'!$AJ$51:$AL$57</definedName>
    <definedName name="LettB" localSheetId="1">'Mensile'!$AJ$51:$AL$57</definedName>
    <definedName name="LettB" localSheetId="13">'Nov'!$AJ$51:$AL$57</definedName>
    <definedName name="LettB" localSheetId="12">'Ott'!$AJ$51:$AL$57</definedName>
    <definedName name="LettB" localSheetId="11">'Set'!$AJ$51:$AL$57</definedName>
    <definedName name="LettB">'Annuale'!$T$51:$V$57</definedName>
    <definedName name="Lordo" localSheetId="10">'Ago'!$U$17</definedName>
    <definedName name="Lordo" localSheetId="6">'Apr'!$U$17</definedName>
    <definedName name="Lordo" localSheetId="15">'Conguaglio'!$P$15</definedName>
    <definedName name="Lordo" localSheetId="14">'Dic'!$U$17</definedName>
    <definedName name="Lordo" localSheetId="4">'Feb'!$U$17</definedName>
    <definedName name="Lordo" localSheetId="3">'Gen'!$U$17</definedName>
    <definedName name="Lordo" localSheetId="8">'Giu'!$U$17</definedName>
    <definedName name="Lordo" localSheetId="9">'Lug'!$U$17</definedName>
    <definedName name="Lordo" localSheetId="7">'Mag'!$U$17</definedName>
    <definedName name="Lordo" localSheetId="5">'Mar'!$U$17</definedName>
    <definedName name="Lordo" localSheetId="1">'Mensile'!$U$17</definedName>
    <definedName name="Lordo" localSheetId="13">'Nov'!$U$17</definedName>
    <definedName name="Lordo" localSheetId="12">'Ott'!$U$17</definedName>
    <definedName name="Lordo" localSheetId="11">'Set'!$U$17</definedName>
    <definedName name="Lordo">'Annuale'!$E$17</definedName>
    <definedName name="Macrnuova">'[1]Macro1'!$A$1</definedName>
    <definedName name="Macro1">#REF!</definedName>
    <definedName name="Macro10">#REF!</definedName>
    <definedName name="Macro11">#REF!</definedName>
    <definedName name="Macro15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e_altri" localSheetId="10">'Ago'!#REF!</definedName>
    <definedName name="me_altri" localSheetId="6">'Apr'!#REF!</definedName>
    <definedName name="me_altri" localSheetId="15">'Conguaglio'!#REF!</definedName>
    <definedName name="me_altri" localSheetId="14">'Dic'!#REF!</definedName>
    <definedName name="me_altri" localSheetId="4">'Feb'!#REF!</definedName>
    <definedName name="me_altri" localSheetId="3">'Gen'!#REF!</definedName>
    <definedName name="me_altri" localSheetId="8">'Giu'!#REF!</definedName>
    <definedName name="me_altri" localSheetId="9">'Lug'!#REF!</definedName>
    <definedName name="me_altri" localSheetId="7">'Mag'!#REF!</definedName>
    <definedName name="me_altri" localSheetId="5">'Mar'!#REF!</definedName>
    <definedName name="me_altri" localSheetId="1">'Mensile'!#REF!</definedName>
    <definedName name="me_altri" localSheetId="13">'Nov'!#REF!</definedName>
    <definedName name="me_altri" localSheetId="12">'Ott'!#REF!</definedName>
    <definedName name="me_altri" localSheetId="11">'Set'!#REF!</definedName>
    <definedName name="me_altri">'Annuale'!#REF!</definedName>
    <definedName name="me_assco" localSheetId="10">'Ago'!#REF!</definedName>
    <definedName name="me_assco" localSheetId="6">'Apr'!#REF!</definedName>
    <definedName name="me_assco" localSheetId="15">'Conguaglio'!#REF!</definedName>
    <definedName name="me_assco" localSheetId="14">'Dic'!#REF!</definedName>
    <definedName name="me_assco" localSheetId="4">'Feb'!#REF!</definedName>
    <definedName name="me_assco" localSheetId="3">'Gen'!#REF!</definedName>
    <definedName name="me_assco" localSheetId="8">'Giu'!#REF!</definedName>
    <definedName name="me_assco" localSheetId="9">'Lug'!#REF!</definedName>
    <definedName name="me_assco" localSheetId="7">'Mag'!#REF!</definedName>
    <definedName name="me_assco" localSheetId="5">'Mar'!#REF!</definedName>
    <definedName name="me_assco" localSheetId="1">'Mensile'!#REF!</definedName>
    <definedName name="me_assco" localSheetId="13">'Nov'!#REF!</definedName>
    <definedName name="me_assco" localSheetId="12">'Ott'!#REF!</definedName>
    <definedName name="me_assco" localSheetId="11">'Set'!#REF!</definedName>
    <definedName name="me_assco">'Annuale'!#REF!</definedName>
    <definedName name="Me_co" localSheetId="10">'Ago'!$Y$21</definedName>
    <definedName name="Me_co" localSheetId="6">'Apr'!$Y$21</definedName>
    <definedName name="Me_co" localSheetId="15">'Conguaglio'!$I$21</definedName>
    <definedName name="Me_co" localSheetId="14">'Dic'!$Y$21</definedName>
    <definedName name="Me_co" localSheetId="4">'Feb'!$Y$21</definedName>
    <definedName name="Me_co" localSheetId="3">'Gen'!$Y$21</definedName>
    <definedName name="Me_co" localSheetId="8">'Giu'!$Y$21</definedName>
    <definedName name="Me_co" localSheetId="9">'Lug'!$Y$21</definedName>
    <definedName name="Me_co" localSheetId="7">'Mag'!$Y$21</definedName>
    <definedName name="Me_co" localSheetId="5">'Mar'!$Y$21</definedName>
    <definedName name="Me_co" localSheetId="1">'Mensile'!$Y$21</definedName>
    <definedName name="Me_co" localSheetId="13">'Nov'!$Y$21</definedName>
    <definedName name="Me_co" localSheetId="12">'Ott'!$Y$21</definedName>
    <definedName name="Me_co" localSheetId="11">'Set'!$Y$21</definedName>
    <definedName name="Me_co">'Annuale'!$I$21</definedName>
    <definedName name="me_fgl" localSheetId="10">'Ago'!#REF!</definedName>
    <definedName name="me_fgl" localSheetId="6">'Apr'!#REF!</definedName>
    <definedName name="me_fgl" localSheetId="15">'Conguaglio'!#REF!</definedName>
    <definedName name="me_fgl" localSheetId="14">'Dic'!#REF!</definedName>
    <definedName name="me_fgl" localSheetId="4">'Feb'!#REF!</definedName>
    <definedName name="me_fgl" localSheetId="3">'Gen'!#REF!</definedName>
    <definedName name="me_fgl" localSheetId="8">'Giu'!#REF!</definedName>
    <definedName name="me_fgl" localSheetId="9">'Lug'!#REF!</definedName>
    <definedName name="me_fgl" localSheetId="7">'Mag'!#REF!</definedName>
    <definedName name="me_fgl" localSheetId="5">'Mar'!#REF!</definedName>
    <definedName name="me_fgl" localSheetId="1">'Mensile'!#REF!</definedName>
    <definedName name="me_fgl" localSheetId="13">'Nov'!#REF!</definedName>
    <definedName name="me_fgl" localSheetId="12">'Ott'!#REF!</definedName>
    <definedName name="me_fgl" localSheetId="11">'Set'!#REF!</definedName>
    <definedName name="me_fgl">'Annuale'!#REF!</definedName>
    <definedName name="me_fhcp" localSheetId="10">'Ago'!#REF!</definedName>
    <definedName name="me_fhcp" localSheetId="6">'Apr'!#REF!</definedName>
    <definedName name="me_fhcp" localSheetId="15">'Conguaglio'!#REF!</definedName>
    <definedName name="me_fhcp" localSheetId="14">'Dic'!#REF!</definedName>
    <definedName name="me_fhcp" localSheetId="4">'Feb'!#REF!</definedName>
    <definedName name="me_fhcp" localSheetId="3">'Gen'!#REF!</definedName>
    <definedName name="me_fhcp" localSheetId="8">'Giu'!#REF!</definedName>
    <definedName name="me_fhcp" localSheetId="9">'Lug'!#REF!</definedName>
    <definedName name="me_fhcp" localSheetId="7">'Mag'!#REF!</definedName>
    <definedName name="me_fhcp" localSheetId="5">'Mar'!#REF!</definedName>
    <definedName name="me_fhcp" localSheetId="1">'Mensile'!#REF!</definedName>
    <definedName name="me_fhcp" localSheetId="13">'Nov'!#REF!</definedName>
    <definedName name="me_fhcp" localSheetId="12">'Ott'!#REF!</definedName>
    <definedName name="me_fhcp" localSheetId="11">'Set'!#REF!</definedName>
    <definedName name="me_fhcp">'Annuale'!#REF!</definedName>
    <definedName name="me_fig" localSheetId="10">'Ago'!#REF!</definedName>
    <definedName name="me_fig" localSheetId="6">'Apr'!#REF!</definedName>
    <definedName name="me_fig" localSheetId="15">'Conguaglio'!#REF!</definedName>
    <definedName name="me_fig" localSheetId="14">'Dic'!#REF!</definedName>
    <definedName name="me_fig" localSheetId="4">'Feb'!#REF!</definedName>
    <definedName name="me_fig" localSheetId="3">'Gen'!#REF!</definedName>
    <definedName name="me_fig" localSheetId="8">'Giu'!#REF!</definedName>
    <definedName name="me_fig" localSheetId="9">'Lug'!#REF!</definedName>
    <definedName name="me_fig" localSheetId="7">'Mag'!#REF!</definedName>
    <definedName name="me_fig" localSheetId="5">'Mar'!#REF!</definedName>
    <definedName name="me_fig" localSheetId="1">'Mensile'!#REF!</definedName>
    <definedName name="me_fig" localSheetId="13">'Nov'!#REF!</definedName>
    <definedName name="me_fig" localSheetId="12">'Ott'!#REF!</definedName>
    <definedName name="me_fig" localSheetId="11">'Set'!#REF!</definedName>
    <definedName name="me_fig">'Annuale'!#REF!</definedName>
    <definedName name="me_fig3" localSheetId="10">'Ago'!#REF!</definedName>
    <definedName name="me_fig3" localSheetId="6">'Apr'!#REF!</definedName>
    <definedName name="me_fig3" localSheetId="15">'Conguaglio'!#REF!</definedName>
    <definedName name="me_fig3" localSheetId="14">'Dic'!#REF!</definedName>
    <definedName name="me_fig3" localSheetId="4">'Feb'!#REF!</definedName>
    <definedName name="me_fig3" localSheetId="3">'Gen'!#REF!</definedName>
    <definedName name="me_fig3" localSheetId="8">'Giu'!#REF!</definedName>
    <definedName name="me_fig3" localSheetId="9">'Lug'!#REF!</definedName>
    <definedName name="me_fig3" localSheetId="7">'Mag'!#REF!</definedName>
    <definedName name="me_fig3" localSheetId="5">'Mar'!#REF!</definedName>
    <definedName name="me_fig3" localSheetId="1">'Mensile'!#REF!</definedName>
    <definedName name="me_fig3" localSheetId="13">'Nov'!#REF!</definedName>
    <definedName name="me_fig3" localSheetId="12">'Ott'!#REF!</definedName>
    <definedName name="me_fig3" localSheetId="11">'Set'!#REF!</definedName>
    <definedName name="me_fig3">'Annuale'!#REF!</definedName>
    <definedName name="N_Fgl" localSheetId="10">'Ago'!$T$23</definedName>
    <definedName name="N_Fgl" localSheetId="6">'Apr'!$T$23</definedName>
    <definedName name="N_Fgl" localSheetId="15">'Conguaglio'!$D$23</definedName>
    <definedName name="N_Fgl" localSheetId="14">'Dic'!$T$23</definedName>
    <definedName name="N_Fgl" localSheetId="4">'Feb'!$T$23</definedName>
    <definedName name="N_Fgl" localSheetId="3">'Gen'!$T$23</definedName>
    <definedName name="N_Fgl" localSheetId="8">'Giu'!$T$23</definedName>
    <definedName name="N_Fgl" localSheetId="9">'Lug'!$T$23</definedName>
    <definedName name="N_Fgl" localSheetId="7">'Mag'!$T$23</definedName>
    <definedName name="N_Fgl" localSheetId="5">'Mar'!$T$23</definedName>
    <definedName name="N_Fgl" localSheetId="1">'Mensile'!$T$23</definedName>
    <definedName name="N_Fgl" localSheetId="13">'Nov'!$T$23</definedName>
    <definedName name="N_Fgl" localSheetId="12">'Ott'!$T$23</definedName>
    <definedName name="N_Fgl" localSheetId="11">'Set'!$T$23</definedName>
    <definedName name="N_Fgl">'Annuale'!$D$23</definedName>
    <definedName name="ottan" localSheetId="10">'Ago'!$AL$39:$AM$42</definedName>
    <definedName name="ottan" localSheetId="6">'Apr'!$AL$39:$AM$42</definedName>
    <definedName name="ottan" localSheetId="15">'Conguaglio'!$V$39:$W$42</definedName>
    <definedName name="ottan" localSheetId="14">'Dic'!$AL$39:$AM$42</definedName>
    <definedName name="ottan" localSheetId="4">'Feb'!$AL$39:$AM$42</definedName>
    <definedName name="ottan" localSheetId="3">'Gen'!$AL$39:$AM$42</definedName>
    <definedName name="ottan" localSheetId="8">'Giu'!$AL$39:$AM$42</definedName>
    <definedName name="ottan" localSheetId="9">'Lug'!$AL$39:$AM$42</definedName>
    <definedName name="ottan" localSheetId="7">'Mag'!$AL$39:$AM$42</definedName>
    <definedName name="ottan" localSheetId="5">'Mar'!$AL$39:$AM$42</definedName>
    <definedName name="ottan" localSheetId="1">'Mensile'!$AL$39:$AM$42</definedName>
    <definedName name="ottan" localSheetId="13">'Nov'!$AL$39:$AM$42</definedName>
    <definedName name="ottan" localSheetId="12">'Ott'!$AL$39:$AM$42</definedName>
    <definedName name="ottan" localSheetId="11">'Set'!$AL$39:$AM$42</definedName>
    <definedName name="ottan">'Annuale'!$V$39:$W$42</definedName>
    <definedName name="Perc" localSheetId="15">'Conguaglio'!$P$25</definedName>
    <definedName name="Perc">'Annuale'!$P$25</definedName>
    <definedName name="Percm" localSheetId="10">'Ago'!$AF$25</definedName>
    <definedName name="Percm" localSheetId="6">'Apr'!$AF$25</definedName>
    <definedName name="Percm" localSheetId="14">'Dic'!$AF$25</definedName>
    <definedName name="Percm" localSheetId="4">'Feb'!$AF$25</definedName>
    <definedName name="Percm" localSheetId="3">'Gen'!$AF$25</definedName>
    <definedName name="Percm" localSheetId="8">'Giu'!$AF$25</definedName>
    <definedName name="Percm" localSheetId="9">'Lug'!$AF$25</definedName>
    <definedName name="Percm" localSheetId="7">'Mag'!$AF$25</definedName>
    <definedName name="Percm" localSheetId="5">'Mar'!$AF$25</definedName>
    <definedName name="Percm" localSheetId="1">'Mensile'!$AF$25</definedName>
    <definedName name="Percm" localSheetId="13">'Nov'!$AF$25</definedName>
    <definedName name="Percm" localSheetId="12">'Ott'!$AF$25</definedName>
    <definedName name="Percm" localSheetId="11">'Set'!$AF$25</definedName>
    <definedName name="Percm">#REF!</definedName>
    <definedName name="quar" localSheetId="10">'Ago'!$AL$38:$AM$38</definedName>
    <definedName name="quar" localSheetId="6">'Apr'!$AL$38:$AM$38</definedName>
    <definedName name="quar" localSheetId="15">'Conguaglio'!$V$38:$W$38</definedName>
    <definedName name="quar" localSheetId="14">'Dic'!$AL$38:$AM$38</definedName>
    <definedName name="quar" localSheetId="4">'Feb'!$AL$38:$AM$38</definedName>
    <definedName name="quar" localSheetId="3">'Gen'!$AL$38:$AM$38</definedName>
    <definedName name="quar" localSheetId="8">'Giu'!$AL$38:$AM$38</definedName>
    <definedName name="quar" localSheetId="9">'Lug'!$AL$38:$AM$38</definedName>
    <definedName name="quar" localSheetId="7">'Mag'!$AL$38:$AM$38</definedName>
    <definedName name="quar" localSheetId="5">'Mar'!$AL$38:$AM$38</definedName>
    <definedName name="quar" localSheetId="1">'Mensile'!$AL$38:$AM$38</definedName>
    <definedName name="quar" localSheetId="13">'Nov'!$AL$38:$AM$38</definedName>
    <definedName name="quar" localSheetId="12">'Ott'!$AL$38:$AM$38</definedName>
    <definedName name="quar" localSheetId="11">'Set'!$AL$38:$AM$38</definedName>
    <definedName name="quar">'Annuale'!$V$38:$W$38</definedName>
    <definedName name="quin" localSheetId="10">'Ago'!$AL$19:$AM$37</definedName>
    <definedName name="quin" localSheetId="6">'Apr'!$AL$19:$AM$37</definedName>
    <definedName name="quin" localSheetId="15">'Conguaglio'!$V$19:$W$37</definedName>
    <definedName name="quin" localSheetId="14">'Dic'!$AL$19:$AM$37</definedName>
    <definedName name="quin" localSheetId="4">'Feb'!$AL$19:$AM$37</definedName>
    <definedName name="quin" localSheetId="3">'Gen'!$AL$19:$AM$37</definedName>
    <definedName name="quin" localSheetId="8">'Giu'!$AL$19:$AM$37</definedName>
    <definedName name="quin" localSheetId="9">'Lug'!$AL$19:$AM$37</definedName>
    <definedName name="quin" localSheetId="7">'Mag'!$AL$19:$AM$37</definedName>
    <definedName name="quin" localSheetId="5">'Mar'!$AL$19:$AM$37</definedName>
    <definedName name="quin" localSheetId="1">'Mensile'!$AL$19:$AM$37</definedName>
    <definedName name="quin" localSheetId="13">'Nov'!$AL$19:$AM$37</definedName>
    <definedName name="quin" localSheetId="12">'Ott'!$AL$19:$AM$37</definedName>
    <definedName name="quin" localSheetId="11">'Set'!$AL$19:$AM$37</definedName>
    <definedName name="quin">'Annuale'!$V$19:$W$37</definedName>
    <definedName name="RaDe" localSheetId="10">'Ago'!$AL$19:$AM$43</definedName>
    <definedName name="RaDe" localSheetId="6">'Apr'!$AL$19:$AM$43</definedName>
    <definedName name="RaDe" localSheetId="15">'Conguaglio'!$V$19:$W$43</definedName>
    <definedName name="RaDe" localSheetId="14">'Dic'!$AL$19:$AM$43</definedName>
    <definedName name="RaDe" localSheetId="4">'Feb'!$AL$19:$AM$43</definedName>
    <definedName name="RaDe" localSheetId="3">'Gen'!$AL$19:$AM$43</definedName>
    <definedName name="RaDe" localSheetId="8">'Giu'!$AL$19:$AM$43</definedName>
    <definedName name="RaDe" localSheetId="9">'Lug'!$AL$19:$AM$43</definedName>
    <definedName name="RaDe" localSheetId="7">'Mag'!$AL$19:$AM$43</definedName>
    <definedName name="RaDe" localSheetId="5">'Mar'!$AL$19:$AM$43</definedName>
    <definedName name="RaDe" localSheetId="1">'Mensile'!$AL$19:$AM$43</definedName>
    <definedName name="RaDe" localSheetId="13">'Nov'!$AL$19:$AM$43</definedName>
    <definedName name="RaDe" localSheetId="12">'Ott'!$AL$19:$AM$43</definedName>
    <definedName name="RaDe" localSheetId="11">'Set'!$AL$19:$AM$43</definedName>
    <definedName name="RaDe">'Annuale'!$V$19:$W$43</definedName>
    <definedName name="Rap1" localSheetId="10">'Ago'!$AO$14</definedName>
    <definedName name="Rap1" localSheetId="6">'Apr'!$AO$14</definedName>
    <definedName name="Rap1" localSheetId="15">'Conguaglio'!$Y$14</definedName>
    <definedName name="Rap1" localSheetId="14">'Dic'!$AO$14</definedName>
    <definedName name="Rap1" localSheetId="4">'Feb'!$AO$14</definedName>
    <definedName name="Rap1" localSheetId="3">'Gen'!$AO$14</definedName>
    <definedName name="Rap1" localSheetId="8">'Giu'!$AO$14</definedName>
    <definedName name="Rap1" localSheetId="9">'Lug'!$AO$14</definedName>
    <definedName name="Rap1" localSheetId="7">'Mag'!$AO$14</definedName>
    <definedName name="Rap1" localSheetId="5">'Mar'!$AO$14</definedName>
    <definedName name="Rap1" localSheetId="1">'Mensile'!$AO$14</definedName>
    <definedName name="Rap1" localSheetId="13">'Nov'!$AO$14</definedName>
    <definedName name="Rap1" localSheetId="12">'Ott'!$AO$14</definedName>
    <definedName name="Rap1" localSheetId="11">'Set'!$AO$14</definedName>
    <definedName name="Rap1">'Annuale'!$Y$14</definedName>
    <definedName name="Rapp" localSheetId="10">'Ago'!$AO$13</definedName>
    <definedName name="Rapp" localSheetId="6">'Apr'!$AO$13</definedName>
    <definedName name="Rapp" localSheetId="15">'Conguaglio'!$Y$13</definedName>
    <definedName name="Rapp" localSheetId="14">'Dic'!$AO$13</definedName>
    <definedName name="Rapp" localSheetId="4">'Feb'!$AO$13</definedName>
    <definedName name="Rapp" localSheetId="3">'Gen'!$AO$13</definedName>
    <definedName name="Rapp" localSheetId="8">'Giu'!$AO$13</definedName>
    <definedName name="Rapp" localSheetId="9">'Lug'!$AO$13</definedName>
    <definedName name="Rapp" localSheetId="7">'Mag'!$AO$13</definedName>
    <definedName name="Rapp" localSheetId="5">'Mar'!$AO$13</definedName>
    <definedName name="Rapp" localSheetId="1">'Mensile'!$AO$13</definedName>
    <definedName name="Rapp" localSheetId="13">'Nov'!$AO$13</definedName>
    <definedName name="Rapp" localSheetId="12">'Ott'!$AO$13</definedName>
    <definedName name="Rapp" localSheetId="11">'Set'!$AO$13</definedName>
    <definedName name="Rapp">'Annuale'!$Y$13</definedName>
    <definedName name="Rapp_Altri" localSheetId="10">'Ago'!$AN$68:$AO$71</definedName>
    <definedName name="Rapp_Altri" localSheetId="6">'Apr'!$AN$68:$AO$71</definedName>
    <definedName name="Rapp_Altri" localSheetId="15">'Conguaglio'!$X$68:$Y$71</definedName>
    <definedName name="Rapp_Altri" localSheetId="14">'Dic'!$AN$68:$AO$71</definedName>
    <definedName name="Rapp_Altri" localSheetId="4">'Feb'!$AN$68:$AO$71</definedName>
    <definedName name="Rapp_Altri" localSheetId="3">'Gen'!$AN$68:$AO$71</definedName>
    <definedName name="Rapp_Altri" localSheetId="8">'Giu'!$AN$68:$AO$71</definedName>
    <definedName name="Rapp_Altri" localSheetId="9">'Lug'!$AN$68:$AO$71</definedName>
    <definedName name="Rapp_Altri" localSheetId="7">'Mag'!$AN$68:$AO$71</definedName>
    <definedName name="Rapp_Altri" localSheetId="5">'Mar'!$AN$68:$AO$71</definedName>
    <definedName name="Rapp_Altri" localSheetId="1">'Mensile'!$AN$68:$AO$71</definedName>
    <definedName name="Rapp_Altri" localSheetId="13">'Nov'!$AN$68:$AO$71</definedName>
    <definedName name="Rapp_Altri" localSheetId="12">'Ott'!$AN$68:$AO$71</definedName>
    <definedName name="Rapp_Altri" localSheetId="11">'Set'!$AN$68:$AO$71</definedName>
    <definedName name="Rapp_Altri">'Annuale'!$X$68:$Y$71</definedName>
    <definedName name="Redd_Detraz" localSheetId="10">'Ago'!$AE$10</definedName>
    <definedName name="Redd_Detraz" localSheetId="6">'Apr'!$AE$10</definedName>
    <definedName name="Redd_Detraz" localSheetId="14">'Dic'!$AE$10</definedName>
    <definedName name="Redd_Detraz" localSheetId="4">'Feb'!$AE$10</definedName>
    <definedName name="Redd_Detraz" localSheetId="3">'Gen'!$AE$10</definedName>
    <definedName name="Redd_Detraz" localSheetId="8">'Giu'!$AE$10</definedName>
    <definedName name="Redd_Detraz" localSheetId="9">'Lug'!$AE$10</definedName>
    <definedName name="Redd_Detraz" localSheetId="7">'Mag'!$AE$10</definedName>
    <definedName name="Redd_Detraz" localSheetId="5">'Mar'!$AE$10</definedName>
    <definedName name="Redd_Detraz" localSheetId="1">'Mensile'!$AE$10</definedName>
    <definedName name="Redd_Detraz" localSheetId="13">'Nov'!$AE$10</definedName>
    <definedName name="Redd_Detraz" localSheetId="12">'Ott'!$AE$10</definedName>
    <definedName name="Redd_Detraz" localSheetId="11">'Set'!$AE$10</definedName>
    <definedName name="Redd_Detraz">#REF!</definedName>
    <definedName name="Reddito_imponibile_mensile" localSheetId="10">'Ago'!$AE$16</definedName>
    <definedName name="Reddito_imponibile_mensile" localSheetId="6">'Apr'!$AE$16</definedName>
    <definedName name="Reddito_imponibile_mensile" localSheetId="14">'Dic'!$AE$16</definedName>
    <definedName name="Reddito_imponibile_mensile" localSheetId="4">'Feb'!$AE$16</definedName>
    <definedName name="Reddito_imponibile_mensile" localSheetId="3">'Gen'!$AE$16</definedName>
    <definedName name="Reddito_imponibile_mensile" localSheetId="8">'Giu'!$AE$16</definedName>
    <definedName name="Reddito_imponibile_mensile" localSheetId="9">'Lug'!$AE$16</definedName>
    <definedName name="Reddito_imponibile_mensile" localSheetId="7">'Mag'!$AE$16</definedName>
    <definedName name="Reddito_imponibile_mensile" localSheetId="5">'Mar'!$AE$16</definedName>
    <definedName name="Reddito_imponibile_mensile" localSheetId="1">'Mensile'!$AE$16</definedName>
    <definedName name="Reddito_imponibile_mensile" localSheetId="13">'Nov'!$AE$16</definedName>
    <definedName name="Reddito_imponibile_mensile" localSheetId="12">'Ott'!$AE$16</definedName>
    <definedName name="Reddito_imponibile_mensile" localSheetId="11">'Set'!$AE$16</definedName>
    <definedName name="Reddito_imponibile_mensile">#REF!</definedName>
    <definedName name="ReddNetto" localSheetId="10">'Ago'!$AE$46</definedName>
    <definedName name="ReddNetto" localSheetId="6">'Apr'!$AE$46</definedName>
    <definedName name="ReddNetto" localSheetId="15">'Conguaglio'!$O$46</definedName>
    <definedName name="ReddNetto" localSheetId="14">'Dic'!$AE$46</definedName>
    <definedName name="ReddNetto" localSheetId="4">'Feb'!$AE$46</definedName>
    <definedName name="ReddNetto" localSheetId="3">'Gen'!$AE$46</definedName>
    <definedName name="ReddNetto" localSheetId="8">'Giu'!$AE$46</definedName>
    <definedName name="ReddNetto" localSheetId="9">'Lug'!$AE$46</definedName>
    <definedName name="ReddNetto" localSheetId="7">'Mag'!$AE$46</definedName>
    <definedName name="ReddNetto" localSheetId="5">'Mar'!$AE$46</definedName>
    <definedName name="ReddNetto" localSheetId="1">'Mensile'!$AE$46</definedName>
    <definedName name="ReddNetto" localSheetId="13">'Nov'!$AE$46</definedName>
    <definedName name="ReddNetto" localSheetId="12">'Ott'!$AE$46</definedName>
    <definedName name="ReddNetto" localSheetId="11">'Set'!$AE$46</definedName>
    <definedName name="ReddNetto">'Annuale'!$O$46</definedName>
    <definedName name="Rnet_men" localSheetId="10">'Ago'!$AE$16</definedName>
    <definedName name="Rnet_men" localSheetId="6">'Apr'!$AE$16</definedName>
    <definedName name="Rnet_men" localSheetId="14">'Dic'!$AE$16</definedName>
    <definedName name="Rnet_men" localSheetId="4">'Feb'!$AE$16</definedName>
    <definedName name="Rnet_men" localSheetId="3">'Gen'!$AE$16</definedName>
    <definedName name="Rnet_men" localSheetId="8">'Giu'!$AE$16</definedName>
    <definedName name="Rnet_men" localSheetId="9">'Lug'!$AE$16</definedName>
    <definedName name="Rnet_men" localSheetId="7">'Mag'!$AE$16</definedName>
    <definedName name="Rnet_men" localSheetId="5">'Mar'!$AE$16</definedName>
    <definedName name="Rnet_men" localSheetId="1">'Mensile'!$AE$16</definedName>
    <definedName name="Rnet_men" localSheetId="13">'Nov'!$AE$16</definedName>
    <definedName name="Rnet_men" localSheetId="12">'Ott'!$AE$16</definedName>
    <definedName name="Rnet_men" localSheetId="11">'Set'!$AE$16</definedName>
    <definedName name="Rnet_men">#REF!</definedName>
    <definedName name="Som_fg" localSheetId="10">'Ago'!$AK$61</definedName>
    <definedName name="Som_fg" localSheetId="6">'Apr'!$AK$61</definedName>
    <definedName name="Som_fg" localSheetId="15">'Conguaglio'!$U$61</definedName>
    <definedName name="Som_fg" localSheetId="14">'Dic'!$AK$61</definedName>
    <definedName name="Som_fg" localSheetId="4">'Feb'!$AK$61</definedName>
    <definedName name="Som_fg" localSheetId="3">'Gen'!$AK$61</definedName>
    <definedName name="Som_fg" localSheetId="8">'Giu'!$AK$61</definedName>
    <definedName name="Som_fg" localSheetId="9">'Lug'!$AK$61</definedName>
    <definedName name="Som_fg" localSheetId="7">'Mag'!$AK$61</definedName>
    <definedName name="Som_fg" localSheetId="5">'Mar'!$AK$61</definedName>
    <definedName name="Som_fg" localSheetId="1">'Mensile'!$AK$61</definedName>
    <definedName name="Som_fg" localSheetId="13">'Nov'!$AK$61</definedName>
    <definedName name="Som_fg" localSheetId="12">'Ott'!$AK$61</definedName>
    <definedName name="Som_fg" localSheetId="11">'Set'!$AK$61</definedName>
    <definedName name="Som_fg">'Annuale'!$U$61</definedName>
    <definedName name="Spunta" localSheetId="10">'Ago'!#REF!</definedName>
    <definedName name="Spunta" localSheetId="6">'Apr'!#REF!</definedName>
    <definedName name="Spunta" localSheetId="15">'Conguaglio'!#REF!</definedName>
    <definedName name="Spunta" localSheetId="14">'Dic'!#REF!</definedName>
    <definedName name="Spunta" localSheetId="4">'Feb'!#REF!</definedName>
    <definedName name="Spunta" localSheetId="3">'Gen'!#REF!</definedName>
    <definedName name="Spunta" localSheetId="8">'Giu'!#REF!</definedName>
    <definedName name="Spunta" localSheetId="9">'Lug'!#REF!</definedName>
    <definedName name="Spunta" localSheetId="7">'Mag'!#REF!</definedName>
    <definedName name="Spunta" localSheetId="5">'Mar'!#REF!</definedName>
    <definedName name="Spunta" localSheetId="1">'Mensile'!#REF!</definedName>
    <definedName name="Spunta" localSheetId="13">'Nov'!#REF!</definedName>
    <definedName name="Spunta" localSheetId="12">'Ott'!#REF!</definedName>
    <definedName name="Spunta" localSheetId="11">'Set'!#REF!</definedName>
    <definedName name="Spunta">'Annuale'!#REF!</definedName>
    <definedName name="Tab_1" localSheetId="10">'Ago'!$AQ$62:$AR$64</definedName>
    <definedName name="Tab_1" localSheetId="6">'Apr'!$AQ$62:$AR$64</definedName>
    <definedName name="Tab_1" localSheetId="15">'Conguaglio'!$AA$62:$AB$64</definedName>
    <definedName name="Tab_1" localSheetId="14">'Dic'!$AQ$62:$AR$64</definedName>
    <definedName name="Tab_1" localSheetId="4">'Feb'!$AQ$62:$AR$64</definedName>
    <definedName name="Tab_1" localSheetId="3">'Gen'!$AQ$62:$AR$64</definedName>
    <definedName name="Tab_1" localSheetId="8">'Giu'!$AQ$62:$AR$64</definedName>
    <definedName name="Tab_1" localSheetId="9">'Lug'!$AQ$62:$AR$64</definedName>
    <definedName name="Tab_1" localSheetId="7">'Mag'!$AQ$62:$AR$64</definedName>
    <definedName name="Tab_1" localSheetId="5">'Mar'!$AQ$62:$AR$64</definedName>
    <definedName name="Tab_1" localSheetId="1">'Mensile'!$AQ$62:$AR$64</definedName>
    <definedName name="Tab_1" localSheetId="13">'Nov'!$AQ$62:$AR$64</definedName>
    <definedName name="Tab_1" localSheetId="12">'Ott'!$AQ$62:$AR$64</definedName>
    <definedName name="Tab_1" localSheetId="11">'Set'!$AQ$62:$AR$64</definedName>
    <definedName name="Tab_1">'Annuale'!$AA$62:$AB$64</definedName>
    <definedName name="TotDetr" localSheetId="10">'Ago'!$AE$48</definedName>
    <definedName name="TotDetr" localSheetId="6">'Apr'!$AE$48</definedName>
    <definedName name="TotDetr" localSheetId="15">'Conguaglio'!$O$48</definedName>
    <definedName name="TotDetr" localSheetId="14">'Dic'!$AE$48</definedName>
    <definedName name="TotDetr" localSheetId="4">'Feb'!$AE$48</definedName>
    <definedName name="TotDetr" localSheetId="3">'Gen'!$AE$48</definedName>
    <definedName name="TotDetr" localSheetId="8">'Giu'!$AE$48</definedName>
    <definedName name="TotDetr" localSheetId="9">'Lug'!$AE$48</definedName>
    <definedName name="TotDetr" localSheetId="7">'Mag'!$AE$48</definedName>
    <definedName name="TotDetr" localSheetId="5">'Mar'!$AE$48</definedName>
    <definedName name="TotDetr" localSheetId="1">'Mensile'!$AE$48</definedName>
    <definedName name="TotDetr" localSheetId="13">'Nov'!$AE$48</definedName>
    <definedName name="TotDetr" localSheetId="12">'Ott'!$AE$48</definedName>
    <definedName name="TotDetr" localSheetId="11">'Set'!$AE$48</definedName>
    <definedName name="TotDetr">'Annuale'!$O$48</definedName>
    <definedName name="vuota" localSheetId="10">'Ago'!$AN$2</definedName>
    <definedName name="vuota" localSheetId="6">'Apr'!$AN$2</definedName>
    <definedName name="vuota" localSheetId="15">'Conguaglio'!$X$2</definedName>
    <definedName name="vuota" localSheetId="14">'Dic'!$AN$2</definedName>
    <definedName name="vuota" localSheetId="4">'Feb'!$AN$2</definedName>
    <definedName name="vuota" localSheetId="3">'Gen'!$AN$2</definedName>
    <definedName name="vuota" localSheetId="8">'Giu'!$AN$2</definedName>
    <definedName name="vuota" localSheetId="9">'Lug'!$AN$2</definedName>
    <definedName name="vuota" localSheetId="7">'Mag'!$AN$2</definedName>
    <definedName name="vuota" localSheetId="5">'Mar'!$AN$2</definedName>
    <definedName name="vuota" localSheetId="1">'Mensile'!$AN$2</definedName>
    <definedName name="vuota" localSheetId="13">'Nov'!$AN$2</definedName>
    <definedName name="vuota" localSheetId="12">'Ott'!$AN$2</definedName>
    <definedName name="vuota" localSheetId="11">'Set'!$AN$2</definedName>
    <definedName name="vuota">'Annuale'!$X$2</definedName>
    <definedName name="Vuota1" localSheetId="10">'Ago'!$AM$1</definedName>
    <definedName name="Vuota1" localSheetId="6">'Apr'!$AM$1</definedName>
    <definedName name="Vuota1" localSheetId="15">'Conguaglio'!$W$1</definedName>
    <definedName name="Vuota1" localSheetId="14">'Dic'!$AM$1</definedName>
    <definedName name="Vuota1" localSheetId="4">'Feb'!$AM$1</definedName>
    <definedName name="Vuota1" localSheetId="3">'Gen'!$AM$1</definedName>
    <definedName name="Vuota1" localSheetId="8">'Giu'!$AM$1</definedName>
    <definedName name="Vuota1" localSheetId="9">'Lug'!$AM$1</definedName>
    <definedName name="Vuota1" localSheetId="7">'Mag'!$AM$1</definedName>
    <definedName name="Vuota1" localSheetId="5">'Mar'!$AM$1</definedName>
    <definedName name="Vuota1" localSheetId="1">'Mensile'!$AM$1</definedName>
    <definedName name="Vuota1" localSheetId="13">'Nov'!$AM$1</definedName>
    <definedName name="Vuota1" localSheetId="12">'Ott'!$AM$1</definedName>
    <definedName name="Vuota1" localSheetId="11">'Set'!$AM$1</definedName>
    <definedName name="Vuota1">'Annuale'!$W$1</definedName>
  </definedNames>
  <calcPr fullCalcOnLoad="1"/>
</workbook>
</file>

<file path=xl/comments1.xml><?xml version="1.0" encoding="utf-8"?>
<comments xmlns="http://schemas.openxmlformats.org/spreadsheetml/2006/main">
  <authors>
    <author>Peppe</author>
    <author>Giuseppe Rizzo</author>
  </authors>
  <commentList>
    <comment ref="D21" authorId="0">
      <text>
        <r>
          <rPr>
            <b/>
            <sz val="10"/>
            <color indexed="10"/>
            <rFont val="Times New Roman"/>
            <family val="1"/>
          </rPr>
          <t>Peppe:
Indicare SI o NO</t>
        </r>
      </text>
    </comment>
    <comment ref="I21" authorId="0">
      <text>
        <r>
          <rPr>
            <b/>
            <sz val="10"/>
            <color indexed="10"/>
            <rFont val="Times New Roman"/>
            <family val="1"/>
          </rPr>
          <t>Peppe:
Indicare i mesi a carico</t>
        </r>
      </text>
    </comment>
    <comment ref="D23" authorId="0">
      <text>
        <r>
          <rPr>
            <b/>
            <sz val="10"/>
            <color indexed="10"/>
            <rFont val="Times New Roman"/>
            <family val="1"/>
          </rPr>
          <t>Peppe:
Indicato il numero complessivo dei figli si apriranno automaticamente altrettanti righi per le ulteriori specificazioni</t>
        </r>
      </text>
    </comment>
    <comment ref="N23" authorId="0">
      <text>
        <r>
          <rPr>
            <b/>
            <sz val="10"/>
            <color indexed="10"/>
            <rFont val="Times New Roman"/>
            <family val="1"/>
          </rPr>
          <t>Peppe:
Spuntare la cella con una X o V 
Automaticamente evidenzierà la cella dove indicare i mesi a carico con questa qualità.
Il computo è predisposto per scegliere automaticamente la detrazione più favorevole.
Altrettanto automaticamente, se questa opzione non vale per tutto l'anno,  computa per differenza i mesi con la condizione semplicemente di figlio a carico.</t>
        </r>
      </text>
    </comment>
    <comment ref="C25" authorId="0">
      <text>
        <r>
          <rPr>
            <b/>
            <sz val="10"/>
            <color indexed="10"/>
            <rFont val="Times New Roman"/>
            <family val="1"/>
          </rPr>
          <t>Peppe:
Spuntare le celle relative a tutte le condizioni di ogni singolo figlio su ogni rigo  con X o V.
Indicare infine nella colonna mesi il numero dei  mesi a carico</t>
        </r>
      </text>
    </comment>
    <comment ref="D33" authorId="0">
      <text>
        <r>
          <rPr>
            <b/>
            <sz val="10"/>
            <color indexed="10"/>
            <rFont val="Times New Roman"/>
            <family val="1"/>
          </rPr>
          <t>Peppe:
Indicare il numero degli altri familiari a carico di cui all'art. 433 cod.civ.</t>
        </r>
      </text>
    </comment>
    <comment ref="G44" authorId="0">
      <text>
        <r>
          <rPr>
            <b/>
            <sz val="10"/>
            <color indexed="10"/>
            <rFont val="Times New Roman"/>
            <family val="1"/>
          </rPr>
          <t>Peppe:
Se il rapporto di lavoro è a tempo determinato, valorizzare la cella con X o V.
Automaticamente eliminerà la spunta nella cella superiore</t>
        </r>
      </text>
    </comment>
    <comment ref="K25" authorId="1">
      <text>
        <r>
          <rPr>
            <b/>
            <sz val="10"/>
            <color indexed="10"/>
            <rFont val="Times New Roman"/>
            <family val="1"/>
          </rPr>
          <t>Peppe:
Se non viene valorizzata la cella con in numero dei mesi non effettua il calcolo</t>
        </r>
      </text>
    </comment>
    <comment ref="L11" authorId="0">
      <text>
        <r>
          <rPr>
            <b/>
            <sz val="8"/>
            <color indexed="10"/>
            <rFont val="Times New Roman"/>
            <family val="1"/>
          </rPr>
          <t>Peppe:
Dalla cella 11 alla cella 16 è possibile inserire i valori personali se il calcolo automatico non corrisponde al versamento effettuato</t>
        </r>
      </text>
    </comment>
  </commentList>
</comments>
</file>

<file path=xl/comments10.xml><?xml version="1.0" encoding="utf-8"?>
<comments xmlns="http://schemas.openxmlformats.org/spreadsheetml/2006/main">
  <authors>
    <author>Peppe</author>
    <author>Giuseppe Rizzo</author>
  </authors>
  <commentList>
    <comment ref="T21" authorId="0">
      <text>
        <r>
          <rPr>
            <b/>
            <sz val="10"/>
            <color indexed="10"/>
            <rFont val="Times New Roman"/>
            <family val="1"/>
          </rPr>
          <t>Peppe:
Indicare SI o NO</t>
        </r>
      </text>
    </comment>
    <comment ref="Y21" authorId="0">
      <text>
        <r>
          <rPr>
            <b/>
            <sz val="10"/>
            <color indexed="10"/>
            <rFont val="Times New Roman"/>
            <family val="1"/>
          </rPr>
          <t>Peppe:
Indicare i mesi a carico</t>
        </r>
      </text>
    </comment>
    <comment ref="T23" authorId="0">
      <text>
        <r>
          <rPr>
            <b/>
            <sz val="10"/>
            <color indexed="10"/>
            <rFont val="Times New Roman"/>
            <family val="1"/>
          </rPr>
          <t>Peppe:
Indicato il numero complessivo dei figli si apriranno automaticamente altrettanti righi  per le ulteriori specificazioni</t>
        </r>
      </text>
    </comment>
    <comment ref="AD23" authorId="0">
      <text>
        <r>
          <rPr>
            <b/>
            <sz val="10"/>
            <color indexed="10"/>
            <rFont val="Times New Roman"/>
            <family val="1"/>
          </rPr>
          <t>Peppe:
Spuntare la cella con una X o V 
Automaticamente evidenzierà la cella dove indicare i mesi a carico con questa qualità</t>
        </r>
      </text>
    </comment>
    <comment ref="S25" authorId="0">
      <text>
        <r>
          <rPr>
            <b/>
            <sz val="10"/>
            <color indexed="10"/>
            <rFont val="Times New Roman"/>
            <family val="1"/>
          </rPr>
          <t>Peppe:
Spuntare le celle relative a tutte le condizioni di ogni singolo figlio su ogni rigo  con X o V.
Indicare infine nella colonna mesi il numero dei  mesi a carico</t>
        </r>
      </text>
    </comment>
    <comment ref="T33" authorId="0">
      <text>
        <r>
          <rPr>
            <b/>
            <sz val="10"/>
            <color indexed="10"/>
            <rFont val="Times New Roman"/>
            <family val="1"/>
          </rPr>
          <t>Peppe:
Indicare il numero degli altri familiari a carico di cui all'art. 433 cod.civ.</t>
        </r>
      </text>
    </comment>
    <comment ref="W44" authorId="0">
      <text>
        <r>
          <rPr>
            <b/>
            <sz val="10"/>
            <color indexed="10"/>
            <rFont val="Times New Roman"/>
            <family val="1"/>
          </rPr>
          <t>Peppe:
Se il rapporto di lavoro è a tempo determinato, valorizzare la cella con X o V.
Automaticamente eliminerà la spunta nella cella superiore</t>
        </r>
      </text>
    </comment>
    <comment ref="D21" authorId="0">
      <text>
        <r>
          <rPr>
            <b/>
            <sz val="10"/>
            <color indexed="10"/>
            <rFont val="Times New Roman"/>
            <family val="1"/>
          </rPr>
          <t>Peppe:
Indicare SI o NO</t>
        </r>
      </text>
    </comment>
    <comment ref="D23" authorId="1">
      <text>
        <r>
          <rPr>
            <b/>
            <sz val="8"/>
            <color indexed="10"/>
            <rFont val="Tahoma"/>
            <family val="2"/>
          </rPr>
          <t>Peppe:
Indicato il numero complessivo dei figli si apriranno automaticamente le righe per le ulteriori specificazioni</t>
        </r>
      </text>
    </comment>
    <comment ref="C25" authorId="0">
      <text>
        <r>
          <rPr>
            <b/>
            <sz val="10"/>
            <color indexed="10"/>
            <rFont val="Times New Roman"/>
            <family val="1"/>
          </rPr>
          <t>Peppe:
Spuntare le celle relative a tutte le condizioni di ogni singolo figlio su ogni rigo  con X o V.
Indicare infine nella colonna mesi il numero dei  mesi a carico</t>
        </r>
      </text>
    </comment>
    <comment ref="D33" authorId="1">
      <text>
        <r>
          <rPr>
            <b/>
            <sz val="8"/>
            <color indexed="10"/>
            <rFont val="Times New Roman"/>
            <family val="1"/>
          </rPr>
          <t>Peppe:
Indicare il numero degli altri familiari a carico di cui all'art. 433 cod.civ.</t>
        </r>
      </text>
    </comment>
    <comment ref="G44" authorId="0">
      <text>
        <r>
          <rPr>
            <b/>
            <sz val="10"/>
            <color indexed="10"/>
            <rFont val="Times New Roman"/>
            <family val="1"/>
          </rPr>
          <t>Peppe:
Se il rapporto di lavoro è a tempo determinato, valorizzare la cella con X o V.
Automaticamente eliminerà la spunta nella cella superiore</t>
        </r>
      </text>
    </comment>
    <comment ref="O50" authorId="1">
      <text>
        <r>
          <rPr>
            <b/>
            <sz val="8"/>
            <color indexed="10"/>
            <rFont val="Tahoma"/>
            <family val="2"/>
          </rPr>
          <t>Peppe:
Se il versamento è diverso dall'imposizione indicare l'importo effettivamente versato</t>
        </r>
      </text>
    </comment>
  </commentList>
</comments>
</file>

<file path=xl/comments11.xml><?xml version="1.0" encoding="utf-8"?>
<comments xmlns="http://schemas.openxmlformats.org/spreadsheetml/2006/main">
  <authors>
    <author>Peppe</author>
    <author>Giuseppe Rizzo</author>
  </authors>
  <commentList>
    <comment ref="T21" authorId="0">
      <text>
        <r>
          <rPr>
            <b/>
            <sz val="10"/>
            <color indexed="10"/>
            <rFont val="Times New Roman"/>
            <family val="1"/>
          </rPr>
          <t>Peppe:
Indicare SI o NO</t>
        </r>
      </text>
    </comment>
    <comment ref="Y21" authorId="0">
      <text>
        <r>
          <rPr>
            <b/>
            <sz val="10"/>
            <color indexed="10"/>
            <rFont val="Times New Roman"/>
            <family val="1"/>
          </rPr>
          <t>Peppe:
Indicare i mesi a carico</t>
        </r>
      </text>
    </comment>
    <comment ref="T23" authorId="0">
      <text>
        <r>
          <rPr>
            <b/>
            <sz val="10"/>
            <color indexed="10"/>
            <rFont val="Times New Roman"/>
            <family val="1"/>
          </rPr>
          <t>Peppe:
Indicato il numero complessivo dei figli si apriranno automaticamente altrettanti righi  per le ulteriori specificazioni</t>
        </r>
      </text>
    </comment>
    <comment ref="AD23" authorId="0">
      <text>
        <r>
          <rPr>
            <b/>
            <sz val="10"/>
            <color indexed="10"/>
            <rFont val="Times New Roman"/>
            <family val="1"/>
          </rPr>
          <t>Peppe:
Spuntare la cella con una X o V 
Automaticamente evidenzierà la cella dove indicare i mesi a carico con questa qualità</t>
        </r>
      </text>
    </comment>
    <comment ref="S25" authorId="0">
      <text>
        <r>
          <rPr>
            <b/>
            <sz val="10"/>
            <color indexed="10"/>
            <rFont val="Times New Roman"/>
            <family val="1"/>
          </rPr>
          <t>Peppe:
Spuntare le celle relative a tutte le condizioni di ogni singolo figlio su ogni rigo  con X o V.
Indicare infine nella colonna mesi il numero dei  mesi a carico</t>
        </r>
      </text>
    </comment>
    <comment ref="T33" authorId="0">
      <text>
        <r>
          <rPr>
            <b/>
            <sz val="10"/>
            <color indexed="10"/>
            <rFont val="Times New Roman"/>
            <family val="1"/>
          </rPr>
          <t>Peppe:
Indicare il numero degli altri familiari a carico di cui all'art. 433 cod.civ.</t>
        </r>
      </text>
    </comment>
    <comment ref="W44" authorId="0">
      <text>
        <r>
          <rPr>
            <b/>
            <sz val="10"/>
            <color indexed="10"/>
            <rFont val="Times New Roman"/>
            <family val="1"/>
          </rPr>
          <t>Peppe:
Se il rapporto di lavoro è a tempo determinato, valorizzare la cella con X o V.
Automaticamente eliminerà la spunta nella cella superiore</t>
        </r>
      </text>
    </comment>
    <comment ref="D21" authorId="0">
      <text>
        <r>
          <rPr>
            <b/>
            <sz val="10"/>
            <color indexed="10"/>
            <rFont val="Times New Roman"/>
            <family val="1"/>
          </rPr>
          <t>Peppe:
Indicare SI o NO</t>
        </r>
      </text>
    </comment>
    <comment ref="D23" authorId="1">
      <text>
        <r>
          <rPr>
            <b/>
            <sz val="8"/>
            <color indexed="10"/>
            <rFont val="Tahoma"/>
            <family val="2"/>
          </rPr>
          <t>Peppe:
Indicato il numero complessivo dei figli si apriranno automaticamente le righe per le ulteriori specificazioni</t>
        </r>
      </text>
    </comment>
    <comment ref="C25" authorId="0">
      <text>
        <r>
          <rPr>
            <b/>
            <sz val="10"/>
            <color indexed="10"/>
            <rFont val="Times New Roman"/>
            <family val="1"/>
          </rPr>
          <t>Peppe:
Spuntare le celle relative a tutte le condizioni di ogni singolo figlio su ogni rigo  con X o V.
Indicare infine nella colonna mesi il numero dei  mesi a carico</t>
        </r>
      </text>
    </comment>
    <comment ref="D33" authorId="1">
      <text>
        <r>
          <rPr>
            <b/>
            <sz val="8"/>
            <color indexed="10"/>
            <rFont val="Times New Roman"/>
            <family val="1"/>
          </rPr>
          <t>Peppe:
Indicare il numero degli altri familiari a carico di cui all'art. 433 cod.civ.</t>
        </r>
      </text>
    </comment>
    <comment ref="G44" authorId="0">
      <text>
        <r>
          <rPr>
            <b/>
            <sz val="10"/>
            <color indexed="10"/>
            <rFont val="Times New Roman"/>
            <family val="1"/>
          </rPr>
          <t>Peppe:
Se il rapporto di lavoro è a tempo determinato, valorizzare la cella con X o V.
Automaticamente eliminerà la spunta nella cella superiore</t>
        </r>
      </text>
    </comment>
    <comment ref="O50" authorId="1">
      <text>
        <r>
          <rPr>
            <b/>
            <sz val="8"/>
            <color indexed="10"/>
            <rFont val="Tahoma"/>
            <family val="2"/>
          </rPr>
          <t>Peppe:
Se il versamento è diverso dall'imposizione indicare l'importo effettivamente versato</t>
        </r>
      </text>
    </comment>
  </commentList>
</comments>
</file>

<file path=xl/comments12.xml><?xml version="1.0" encoding="utf-8"?>
<comments xmlns="http://schemas.openxmlformats.org/spreadsheetml/2006/main">
  <authors>
    <author>Peppe</author>
    <author>Giuseppe Rizzo</author>
  </authors>
  <commentList>
    <comment ref="T21" authorId="0">
      <text>
        <r>
          <rPr>
            <b/>
            <sz val="10"/>
            <color indexed="10"/>
            <rFont val="Times New Roman"/>
            <family val="1"/>
          </rPr>
          <t>Peppe:
Indicare SI o NO</t>
        </r>
      </text>
    </comment>
    <comment ref="Y21" authorId="0">
      <text>
        <r>
          <rPr>
            <b/>
            <sz val="10"/>
            <color indexed="10"/>
            <rFont val="Times New Roman"/>
            <family val="1"/>
          </rPr>
          <t>Peppe:
Indicare i mesi a carico</t>
        </r>
      </text>
    </comment>
    <comment ref="T23" authorId="0">
      <text>
        <r>
          <rPr>
            <b/>
            <sz val="10"/>
            <color indexed="10"/>
            <rFont val="Times New Roman"/>
            <family val="1"/>
          </rPr>
          <t>Peppe:
Indicato il numero complessivo dei figli si apriranno automaticamente altrettanti righi  per le ulteriori specificazioni</t>
        </r>
      </text>
    </comment>
    <comment ref="AD23" authorId="0">
      <text>
        <r>
          <rPr>
            <b/>
            <sz val="10"/>
            <color indexed="10"/>
            <rFont val="Times New Roman"/>
            <family val="1"/>
          </rPr>
          <t>Peppe:
Spuntare la cella con una X o V 
Automaticamente evidenzierà la cella dove indicare i mesi a carico con questa qualità</t>
        </r>
      </text>
    </comment>
    <comment ref="S25" authorId="0">
      <text>
        <r>
          <rPr>
            <b/>
            <sz val="10"/>
            <color indexed="10"/>
            <rFont val="Times New Roman"/>
            <family val="1"/>
          </rPr>
          <t>Peppe:
Spuntare le celle relative a tutte le condizioni di ogni singolo figlio su ogni rigo  con X o V.
Indicare infine nella colonna mesi il numero dei  mesi a carico</t>
        </r>
      </text>
    </comment>
    <comment ref="T33" authorId="0">
      <text>
        <r>
          <rPr>
            <b/>
            <sz val="10"/>
            <color indexed="10"/>
            <rFont val="Times New Roman"/>
            <family val="1"/>
          </rPr>
          <t>Peppe:
Indicare il numero degli altri familiari a carico di cui all'art. 433 cod.civ.</t>
        </r>
      </text>
    </comment>
    <comment ref="W44" authorId="0">
      <text>
        <r>
          <rPr>
            <b/>
            <sz val="10"/>
            <color indexed="10"/>
            <rFont val="Times New Roman"/>
            <family val="1"/>
          </rPr>
          <t>Peppe:
Se il rapporto di lavoro è a tempo determinato, valorizzare la cella con X o V.
Automaticamente eliminerà la spunta nella cella superiore</t>
        </r>
      </text>
    </comment>
    <comment ref="D21" authorId="0">
      <text>
        <r>
          <rPr>
            <b/>
            <sz val="10"/>
            <color indexed="10"/>
            <rFont val="Times New Roman"/>
            <family val="1"/>
          </rPr>
          <t>Peppe:
Indicare SI o NO</t>
        </r>
      </text>
    </comment>
    <comment ref="D23" authorId="1">
      <text>
        <r>
          <rPr>
            <b/>
            <sz val="8"/>
            <color indexed="10"/>
            <rFont val="Tahoma"/>
            <family val="2"/>
          </rPr>
          <t>Peppe:
Indicato il numero complessivo dei figli si apriranno automaticamente le righe per le ulteriori specificazioni</t>
        </r>
      </text>
    </comment>
    <comment ref="C25" authorId="0">
      <text>
        <r>
          <rPr>
            <b/>
            <sz val="10"/>
            <color indexed="10"/>
            <rFont val="Times New Roman"/>
            <family val="1"/>
          </rPr>
          <t>Peppe:
Spuntare le celle relative a tutte le condizioni di ogni singolo figlio su ogni rigo  con X o V.
Indicare infine nella colonna mesi il numero dei  mesi a carico</t>
        </r>
      </text>
    </comment>
    <comment ref="D33" authorId="1">
      <text>
        <r>
          <rPr>
            <b/>
            <sz val="8"/>
            <color indexed="10"/>
            <rFont val="Times New Roman"/>
            <family val="1"/>
          </rPr>
          <t>Peppe:
Indicare il numero degli altri familiari a carico di cui all'art. 433 cod.civ.</t>
        </r>
      </text>
    </comment>
    <comment ref="G44" authorId="0">
      <text>
        <r>
          <rPr>
            <b/>
            <sz val="10"/>
            <color indexed="10"/>
            <rFont val="Times New Roman"/>
            <family val="1"/>
          </rPr>
          <t>Peppe:
Se il rapporto di lavoro è a tempo determinato, valorizzare la cella con X o V.
Automaticamente eliminerà la spunta nella cella superiore</t>
        </r>
      </text>
    </comment>
    <comment ref="O50" authorId="1">
      <text>
        <r>
          <rPr>
            <b/>
            <sz val="8"/>
            <color indexed="10"/>
            <rFont val="Tahoma"/>
            <family val="2"/>
          </rPr>
          <t>Peppe:
Se il versamento è diverso dall'imposizione indicare l'importo effettivamente versato</t>
        </r>
      </text>
    </comment>
  </commentList>
</comments>
</file>

<file path=xl/comments13.xml><?xml version="1.0" encoding="utf-8"?>
<comments xmlns="http://schemas.openxmlformats.org/spreadsheetml/2006/main">
  <authors>
    <author>Peppe</author>
    <author>Giuseppe Rizzo</author>
  </authors>
  <commentList>
    <comment ref="T21" authorId="0">
      <text>
        <r>
          <rPr>
            <b/>
            <sz val="10"/>
            <color indexed="10"/>
            <rFont val="Times New Roman"/>
            <family val="1"/>
          </rPr>
          <t>Peppe:
Indicare SI o NO</t>
        </r>
      </text>
    </comment>
    <comment ref="Y21" authorId="0">
      <text>
        <r>
          <rPr>
            <b/>
            <sz val="10"/>
            <color indexed="10"/>
            <rFont val="Times New Roman"/>
            <family val="1"/>
          </rPr>
          <t>Peppe:
Indicare i mesi a carico</t>
        </r>
      </text>
    </comment>
    <comment ref="T23" authorId="0">
      <text>
        <r>
          <rPr>
            <b/>
            <sz val="10"/>
            <color indexed="10"/>
            <rFont val="Times New Roman"/>
            <family val="1"/>
          </rPr>
          <t>Peppe:
Indicato il numero complessivo dei figli si apriranno automaticamente altrettanti righi  per le ulteriori specificazioni</t>
        </r>
      </text>
    </comment>
    <comment ref="AD23" authorId="0">
      <text>
        <r>
          <rPr>
            <b/>
            <sz val="10"/>
            <color indexed="10"/>
            <rFont val="Times New Roman"/>
            <family val="1"/>
          </rPr>
          <t>Peppe:
Spuntare la cella con una X o V 
Automaticamente evidenzierà la cella dove indicare i mesi a carico con questa qualità</t>
        </r>
      </text>
    </comment>
    <comment ref="S25" authorId="0">
      <text>
        <r>
          <rPr>
            <b/>
            <sz val="10"/>
            <color indexed="10"/>
            <rFont val="Times New Roman"/>
            <family val="1"/>
          </rPr>
          <t>Peppe:
Spuntare le celle relative a tutte le condizioni di ogni singolo figlio su ogni rigo  con X o V.
Indicare infine nella colonna mesi il numero dei  mesi a carico</t>
        </r>
      </text>
    </comment>
    <comment ref="T33" authorId="0">
      <text>
        <r>
          <rPr>
            <b/>
            <sz val="10"/>
            <color indexed="10"/>
            <rFont val="Times New Roman"/>
            <family val="1"/>
          </rPr>
          <t>Peppe:
Indicare il numero degli altri familiari a carico di cui all'art. 433 cod.civ.</t>
        </r>
      </text>
    </comment>
    <comment ref="W44" authorId="0">
      <text>
        <r>
          <rPr>
            <b/>
            <sz val="10"/>
            <color indexed="10"/>
            <rFont val="Times New Roman"/>
            <family val="1"/>
          </rPr>
          <t>Peppe:
Se il rapporto di lavoro è a tempo determinato, valorizzare la cella con X o V.
Automaticamente eliminerà la spunta nella cella superiore</t>
        </r>
      </text>
    </comment>
    <comment ref="D21" authorId="0">
      <text>
        <r>
          <rPr>
            <b/>
            <sz val="10"/>
            <color indexed="10"/>
            <rFont val="Times New Roman"/>
            <family val="1"/>
          </rPr>
          <t>Peppe:
Indicare SI o NO</t>
        </r>
      </text>
    </comment>
    <comment ref="D23" authorId="1">
      <text>
        <r>
          <rPr>
            <b/>
            <sz val="8"/>
            <color indexed="10"/>
            <rFont val="Tahoma"/>
            <family val="2"/>
          </rPr>
          <t>Peppe:
Indicato il numero complessivo dei figli si apriranno automaticamente le righe per le ulteriori specificazioni</t>
        </r>
      </text>
    </comment>
    <comment ref="C25" authorId="0">
      <text>
        <r>
          <rPr>
            <b/>
            <sz val="10"/>
            <color indexed="10"/>
            <rFont val="Times New Roman"/>
            <family val="1"/>
          </rPr>
          <t>Peppe:
Spuntare le celle relative a tutte le condizioni di ogni singolo figlio su ogni rigo  con X o V.
Indicare infine nella colonna mesi il numero dei  mesi a carico</t>
        </r>
      </text>
    </comment>
    <comment ref="D33" authorId="1">
      <text>
        <r>
          <rPr>
            <b/>
            <sz val="8"/>
            <color indexed="10"/>
            <rFont val="Times New Roman"/>
            <family val="1"/>
          </rPr>
          <t>Peppe:
Indicare il numero degli altri familiari a carico di cui all'art. 433 cod.civ.</t>
        </r>
      </text>
    </comment>
    <comment ref="G44" authorId="0">
      <text>
        <r>
          <rPr>
            <b/>
            <sz val="10"/>
            <color indexed="10"/>
            <rFont val="Times New Roman"/>
            <family val="1"/>
          </rPr>
          <t>Peppe:
Se il rapporto di lavoro è a tempo determinato, valorizzare la cella con X o V.
Automaticamente eliminerà la spunta nella cella superiore</t>
        </r>
      </text>
    </comment>
    <comment ref="O50" authorId="1">
      <text>
        <r>
          <rPr>
            <b/>
            <sz val="8"/>
            <color indexed="10"/>
            <rFont val="Tahoma"/>
            <family val="2"/>
          </rPr>
          <t>Peppe:
Se il versamento è diverso dall'imposizione indicare l'importo effettivamente versato</t>
        </r>
      </text>
    </comment>
  </commentList>
</comments>
</file>

<file path=xl/comments14.xml><?xml version="1.0" encoding="utf-8"?>
<comments xmlns="http://schemas.openxmlformats.org/spreadsheetml/2006/main">
  <authors>
    <author>Peppe</author>
    <author>Giuseppe Rizzo</author>
  </authors>
  <commentList>
    <comment ref="T21" authorId="0">
      <text>
        <r>
          <rPr>
            <b/>
            <sz val="10"/>
            <color indexed="10"/>
            <rFont val="Times New Roman"/>
            <family val="1"/>
          </rPr>
          <t>Peppe:
Indicare SI o NO</t>
        </r>
      </text>
    </comment>
    <comment ref="Y21" authorId="0">
      <text>
        <r>
          <rPr>
            <b/>
            <sz val="10"/>
            <color indexed="10"/>
            <rFont val="Times New Roman"/>
            <family val="1"/>
          </rPr>
          <t>Peppe:
Indicare i mesi a carico</t>
        </r>
      </text>
    </comment>
    <comment ref="T23" authorId="0">
      <text>
        <r>
          <rPr>
            <b/>
            <sz val="10"/>
            <color indexed="10"/>
            <rFont val="Times New Roman"/>
            <family val="1"/>
          </rPr>
          <t>Peppe:
Indicato il numero complessivo dei figli si apriranno automaticamente altrettanti righi  per le ulteriori specificazioni</t>
        </r>
      </text>
    </comment>
    <comment ref="AD23" authorId="0">
      <text>
        <r>
          <rPr>
            <b/>
            <sz val="10"/>
            <color indexed="10"/>
            <rFont val="Times New Roman"/>
            <family val="1"/>
          </rPr>
          <t>Peppe:
Spuntare la cella con una X o V 
Automaticamente evidenzierà la cella dove indicare i mesi a carico con questa qualità</t>
        </r>
      </text>
    </comment>
    <comment ref="S25" authorId="0">
      <text>
        <r>
          <rPr>
            <b/>
            <sz val="10"/>
            <color indexed="10"/>
            <rFont val="Times New Roman"/>
            <family val="1"/>
          </rPr>
          <t>Peppe:
Spuntare le celle relative a tutte le condizioni di ogni singolo figlio su ogni rigo  con X o V.
Indicare infine nella colonna mesi il numero dei  mesi a carico</t>
        </r>
      </text>
    </comment>
    <comment ref="T33" authorId="0">
      <text>
        <r>
          <rPr>
            <b/>
            <sz val="10"/>
            <color indexed="10"/>
            <rFont val="Times New Roman"/>
            <family val="1"/>
          </rPr>
          <t>Peppe:
Indicare il numero degli altri familiari a carico di cui all'art. 433 cod.civ.</t>
        </r>
      </text>
    </comment>
    <comment ref="W44" authorId="0">
      <text>
        <r>
          <rPr>
            <b/>
            <sz val="10"/>
            <color indexed="10"/>
            <rFont val="Times New Roman"/>
            <family val="1"/>
          </rPr>
          <t>Peppe:
Se il rapporto di lavoro è a tempo determinato, valorizzare la cella con X o V.
Automaticamente eliminerà la spunta nella cella superiore</t>
        </r>
      </text>
    </comment>
    <comment ref="D21" authorId="0">
      <text>
        <r>
          <rPr>
            <b/>
            <sz val="10"/>
            <color indexed="10"/>
            <rFont val="Times New Roman"/>
            <family val="1"/>
          </rPr>
          <t>Peppe:
Indicare SI o NO</t>
        </r>
      </text>
    </comment>
    <comment ref="D23" authorId="1">
      <text>
        <r>
          <rPr>
            <b/>
            <sz val="8"/>
            <color indexed="10"/>
            <rFont val="Tahoma"/>
            <family val="2"/>
          </rPr>
          <t>Peppe:
Indicato il numero complessivo dei figli si apriranno automaticamente le righe per le ulteriori specificazioni</t>
        </r>
      </text>
    </comment>
    <comment ref="C25" authorId="0">
      <text>
        <r>
          <rPr>
            <b/>
            <sz val="10"/>
            <color indexed="10"/>
            <rFont val="Times New Roman"/>
            <family val="1"/>
          </rPr>
          <t>Peppe:
Spuntare le celle relative a tutte le condizioni di ogni singolo figlio su ogni rigo  con X o V.
Indicare infine nella colonna mesi il numero dei  mesi a carico</t>
        </r>
      </text>
    </comment>
    <comment ref="D33" authorId="1">
      <text>
        <r>
          <rPr>
            <b/>
            <sz val="8"/>
            <color indexed="10"/>
            <rFont val="Times New Roman"/>
            <family val="1"/>
          </rPr>
          <t>Peppe:
Indicare il numero degli altri familiari a carico di cui all'art. 433 cod.civ.</t>
        </r>
      </text>
    </comment>
    <comment ref="G44" authorId="0">
      <text>
        <r>
          <rPr>
            <b/>
            <sz val="10"/>
            <color indexed="10"/>
            <rFont val="Times New Roman"/>
            <family val="1"/>
          </rPr>
          <t>Peppe:
Se il rapporto di lavoro è a tempo determinato, valorizzare la cella con X o V.
Automaticamente eliminerà la spunta nella cella superiore</t>
        </r>
      </text>
    </comment>
    <comment ref="O50" authorId="1">
      <text>
        <r>
          <rPr>
            <b/>
            <sz val="8"/>
            <color indexed="10"/>
            <rFont val="Tahoma"/>
            <family val="2"/>
          </rPr>
          <t>Peppe:
Se il versamento è diverso dall'imposizione indicare l'importo effettivamente versato</t>
        </r>
      </text>
    </comment>
  </commentList>
</comments>
</file>

<file path=xl/comments15.xml><?xml version="1.0" encoding="utf-8"?>
<comments xmlns="http://schemas.openxmlformats.org/spreadsheetml/2006/main">
  <authors>
    <author>Peppe</author>
    <author>Giuseppe Rizzo</author>
  </authors>
  <commentList>
    <comment ref="T21" authorId="0">
      <text>
        <r>
          <rPr>
            <b/>
            <sz val="10"/>
            <color indexed="10"/>
            <rFont val="Times New Roman"/>
            <family val="1"/>
          </rPr>
          <t>Peppe:
Indicare SI o NO</t>
        </r>
      </text>
    </comment>
    <comment ref="Y21" authorId="0">
      <text>
        <r>
          <rPr>
            <b/>
            <sz val="10"/>
            <color indexed="10"/>
            <rFont val="Times New Roman"/>
            <family val="1"/>
          </rPr>
          <t>Peppe:
Indicare i mesi a carico</t>
        </r>
      </text>
    </comment>
    <comment ref="T23" authorId="0">
      <text>
        <r>
          <rPr>
            <b/>
            <sz val="10"/>
            <color indexed="10"/>
            <rFont val="Times New Roman"/>
            <family val="1"/>
          </rPr>
          <t>Peppe:
Indicato il numero complessivo dei figli si apriranno automaticamente altrettanti righi  per le ulteriori specificazioni</t>
        </r>
      </text>
    </comment>
    <comment ref="AD23" authorId="0">
      <text>
        <r>
          <rPr>
            <b/>
            <sz val="10"/>
            <color indexed="10"/>
            <rFont val="Times New Roman"/>
            <family val="1"/>
          </rPr>
          <t>Peppe:
Spuntare la cella con una X o V 
Automaticamente evidenzierà la cella dove indicare i mesi a carico con questa qualità</t>
        </r>
      </text>
    </comment>
    <comment ref="S25" authorId="0">
      <text>
        <r>
          <rPr>
            <b/>
            <sz val="10"/>
            <color indexed="10"/>
            <rFont val="Times New Roman"/>
            <family val="1"/>
          </rPr>
          <t>Peppe:
Spuntare le celle relative a tutte le condizioni di ogni singolo figlio su ogni rigo  con X o V.
Indicare infine nella colonna mesi il numero dei  mesi a carico</t>
        </r>
      </text>
    </comment>
    <comment ref="T33" authorId="0">
      <text>
        <r>
          <rPr>
            <b/>
            <sz val="10"/>
            <color indexed="10"/>
            <rFont val="Times New Roman"/>
            <family val="1"/>
          </rPr>
          <t>Peppe:
Indicare il numero degli altri familiari a carico di cui all'art. 433 cod.civ.</t>
        </r>
      </text>
    </comment>
    <comment ref="W44" authorId="0">
      <text>
        <r>
          <rPr>
            <b/>
            <sz val="10"/>
            <color indexed="10"/>
            <rFont val="Times New Roman"/>
            <family val="1"/>
          </rPr>
          <t>Peppe:
Se il rapporto di lavoro è a tempo determinato, valorizzare la cella con X o V.
Automaticamente eliminerà la spunta nella cella superiore</t>
        </r>
      </text>
    </comment>
    <comment ref="D21" authorId="0">
      <text>
        <r>
          <rPr>
            <b/>
            <sz val="10"/>
            <color indexed="10"/>
            <rFont val="Times New Roman"/>
            <family val="1"/>
          </rPr>
          <t>Peppe:
Indicare SI o NO</t>
        </r>
      </text>
    </comment>
    <comment ref="D23" authorId="1">
      <text>
        <r>
          <rPr>
            <b/>
            <sz val="8"/>
            <color indexed="10"/>
            <rFont val="Tahoma"/>
            <family val="2"/>
          </rPr>
          <t>Peppe:
Indicato il numero complessivo dei figli si apriranno automaticamente le righe per le ulteriori specificazioni</t>
        </r>
      </text>
    </comment>
    <comment ref="C25" authorId="0">
      <text>
        <r>
          <rPr>
            <b/>
            <sz val="10"/>
            <color indexed="10"/>
            <rFont val="Times New Roman"/>
            <family val="1"/>
          </rPr>
          <t>Peppe:
Spuntare le celle relative a tutte le condizioni di ogni singolo figlio su ogni rigo  con X o V.
Indicare infine nella colonna mesi il numero dei  mesi a carico</t>
        </r>
      </text>
    </comment>
    <comment ref="D33" authorId="1">
      <text>
        <r>
          <rPr>
            <b/>
            <sz val="8"/>
            <color indexed="10"/>
            <rFont val="Times New Roman"/>
            <family val="1"/>
          </rPr>
          <t>Peppe:
Indicare il numero degli altri familiari a carico di cui all'art. 433 cod.civ.</t>
        </r>
      </text>
    </comment>
    <comment ref="G44" authorId="0">
      <text>
        <r>
          <rPr>
            <b/>
            <sz val="10"/>
            <color indexed="10"/>
            <rFont val="Times New Roman"/>
            <family val="1"/>
          </rPr>
          <t>Peppe:
Se il rapporto di lavoro è a tempo determinato, valorizzare la cella con X o V.
Automaticamente eliminerà la spunta nella cella superiore</t>
        </r>
      </text>
    </comment>
    <comment ref="O50" authorId="1">
      <text>
        <r>
          <rPr>
            <b/>
            <sz val="8"/>
            <color indexed="10"/>
            <rFont val="Tahoma"/>
            <family val="2"/>
          </rPr>
          <t>Peppe:
Se il versamento è diverso dall'imposizione indicare l'importo effettivamente versato</t>
        </r>
      </text>
    </comment>
  </commentList>
</comments>
</file>

<file path=xl/comments16.xml><?xml version="1.0" encoding="utf-8"?>
<comments xmlns="http://schemas.openxmlformats.org/spreadsheetml/2006/main">
  <authors>
    <author>Peppe</author>
    <author>Giuseppe Rizzo</author>
  </authors>
  <commentList>
    <comment ref="D21" authorId="0">
      <text>
        <r>
          <rPr>
            <b/>
            <sz val="10"/>
            <color indexed="10"/>
            <rFont val="Times New Roman"/>
            <family val="1"/>
          </rPr>
          <t>Peppe:
Indicare SI o NO</t>
        </r>
      </text>
    </comment>
    <comment ref="I21" authorId="0">
      <text>
        <r>
          <rPr>
            <b/>
            <sz val="10"/>
            <color indexed="10"/>
            <rFont val="Times New Roman"/>
            <family val="1"/>
          </rPr>
          <t>Peppe:
Indicare i mesi a carico</t>
        </r>
      </text>
    </comment>
    <comment ref="D23" authorId="0">
      <text>
        <r>
          <rPr>
            <b/>
            <sz val="10"/>
            <color indexed="10"/>
            <rFont val="Times New Roman"/>
            <family val="1"/>
          </rPr>
          <t>Peppe:
Indicato il numero complessivo dei figli si apriranno automaticamente altrettanti righi per le ulteriori specificazioni</t>
        </r>
      </text>
    </comment>
    <comment ref="N23" authorId="0">
      <text>
        <r>
          <rPr>
            <b/>
            <sz val="10"/>
            <color indexed="10"/>
            <rFont val="Times New Roman"/>
            <family val="1"/>
          </rPr>
          <t>Peppe:
Spuntare la cella con una X o V 
Automaticamente evidenzierà la cella dove indicare i mesi a carico con questa qualità.
Il computo è predisposto per scegliere automaticamente la detrazione più favorevole.
Altrettanto automaticamente, se questa opzione non vale per tutto l'anno,  computa per differenza i mesi con la condizione semplicemente di figlio a carico.</t>
        </r>
      </text>
    </comment>
    <comment ref="C25" authorId="0">
      <text>
        <r>
          <rPr>
            <b/>
            <sz val="10"/>
            <color indexed="10"/>
            <rFont val="Times New Roman"/>
            <family val="1"/>
          </rPr>
          <t>Peppe:
Spuntare le celle relative a tutte le condizioni di ogni singolo figlio su ogni rigo  con X o V.
Indicare infine nella colonna mesi il numero dei  mesi a carico</t>
        </r>
      </text>
    </comment>
    <comment ref="D33" authorId="0">
      <text>
        <r>
          <rPr>
            <b/>
            <sz val="10"/>
            <color indexed="10"/>
            <rFont val="Times New Roman"/>
            <family val="1"/>
          </rPr>
          <t>Peppe:
Indicare il numero degli altri familiari a carico di cui all'art. 433 cod.civ.</t>
        </r>
      </text>
    </comment>
    <comment ref="G44" authorId="0">
      <text>
        <r>
          <rPr>
            <b/>
            <sz val="10"/>
            <color indexed="10"/>
            <rFont val="Times New Roman"/>
            <family val="1"/>
          </rPr>
          <t>Peppe:
Se il rapporto di lavoro è a tempo determinato, valorizzare la cella con X o V.
Automaticamente eliminerà la spunta nella cella superiore</t>
        </r>
      </text>
    </comment>
    <comment ref="K25" authorId="1">
      <text>
        <r>
          <rPr>
            <b/>
            <sz val="10"/>
            <color indexed="10"/>
            <rFont val="Times New Roman"/>
            <family val="1"/>
          </rPr>
          <t>Peppe:
Se non viene valorizzata la cella con in numero dei mesi non effettua il calcolo</t>
        </r>
      </text>
    </comment>
    <comment ref="L11" authorId="0">
      <text>
        <r>
          <rPr>
            <b/>
            <sz val="8"/>
            <color indexed="10"/>
            <rFont val="Times New Roman"/>
            <family val="1"/>
          </rPr>
          <t>Peppe:
Dalla cella 11 alla cella 16 è possibile inserire i valori personali se il calcolo automatico non corrisponde al versamento effettuato</t>
        </r>
      </text>
    </comment>
    <comment ref="N9" authorId="0">
      <text>
        <r>
          <rPr>
            <b/>
            <i/>
            <sz val="8"/>
            <color indexed="10"/>
            <rFont val="Tahoma"/>
            <family val="2"/>
          </rPr>
          <t>Peppe:
Inserire i dati degli emolumenti percepiti in altra sede (esempio: trasferimento nel corso dell'anno e conguaglio a carico dell'ultima sede di destinazione)</t>
        </r>
      </text>
    </comment>
  </commentList>
</comments>
</file>

<file path=xl/comments2.xml><?xml version="1.0" encoding="utf-8"?>
<comments xmlns="http://schemas.openxmlformats.org/spreadsheetml/2006/main">
  <authors>
    <author>Peppe</author>
    <author>Giuseppe Rizzo</author>
  </authors>
  <commentList>
    <comment ref="T21" authorId="0">
      <text>
        <r>
          <rPr>
            <b/>
            <sz val="10"/>
            <color indexed="10"/>
            <rFont val="Times New Roman"/>
            <family val="1"/>
          </rPr>
          <t>Peppe:
Indicare SI o NO</t>
        </r>
      </text>
    </comment>
    <comment ref="Y21" authorId="0">
      <text>
        <r>
          <rPr>
            <b/>
            <sz val="10"/>
            <color indexed="10"/>
            <rFont val="Times New Roman"/>
            <family val="1"/>
          </rPr>
          <t>Peppe:
Indicare i mesi a carico</t>
        </r>
      </text>
    </comment>
    <comment ref="T23" authorId="0">
      <text>
        <r>
          <rPr>
            <b/>
            <sz val="10"/>
            <color indexed="10"/>
            <rFont val="Times New Roman"/>
            <family val="1"/>
          </rPr>
          <t>Peppe:
Indicato il numero complessivo dei figli si apriranno automaticamente altrettanti righi  per le ulteriori specificazioni</t>
        </r>
      </text>
    </comment>
    <comment ref="AD23" authorId="0">
      <text>
        <r>
          <rPr>
            <b/>
            <sz val="10"/>
            <color indexed="10"/>
            <rFont val="Times New Roman"/>
            <family val="1"/>
          </rPr>
          <t>Peppe:
Spuntare la cella con una X o V 
Automaticamente evidenzierà la cella dove indicare i mesi a carico con questa qualità</t>
        </r>
      </text>
    </comment>
    <comment ref="S25" authorId="0">
      <text>
        <r>
          <rPr>
            <b/>
            <sz val="10"/>
            <color indexed="10"/>
            <rFont val="Times New Roman"/>
            <family val="1"/>
          </rPr>
          <t>Peppe:
Spuntare le celle relative a tutte le condizioni di ogni singolo figlio su ogni rigo  con X o V.
Indicare infine nella colonna mesi il numero dei  mesi a carico</t>
        </r>
      </text>
    </comment>
    <comment ref="T33" authorId="0">
      <text>
        <r>
          <rPr>
            <b/>
            <sz val="10"/>
            <color indexed="10"/>
            <rFont val="Times New Roman"/>
            <family val="1"/>
          </rPr>
          <t>Peppe:
Indicare il numero degli altri familiari a carico di cui all'art. 433 cod.civ.</t>
        </r>
      </text>
    </comment>
    <comment ref="W44" authorId="0">
      <text>
        <r>
          <rPr>
            <b/>
            <sz val="10"/>
            <color indexed="10"/>
            <rFont val="Times New Roman"/>
            <family val="1"/>
          </rPr>
          <t>Peppe:
Se il rapporto di lavoro è a tempo determinato, valorizzare la cella con X o V.
Automaticamente eliminerà la spunta nella cella superiore</t>
        </r>
      </text>
    </comment>
    <comment ref="D21" authorId="0">
      <text>
        <r>
          <rPr>
            <b/>
            <sz val="10"/>
            <color indexed="10"/>
            <rFont val="Times New Roman"/>
            <family val="1"/>
          </rPr>
          <t>Peppe:
Indicare SI o NO</t>
        </r>
      </text>
    </comment>
    <comment ref="D23" authorId="1">
      <text>
        <r>
          <rPr>
            <b/>
            <sz val="8"/>
            <color indexed="10"/>
            <rFont val="Tahoma"/>
            <family val="2"/>
          </rPr>
          <t>Peppe:
Indicato il numero complessivo dei figli si apriranno automaticamente le righe per le ulteriori specificazioni</t>
        </r>
      </text>
    </comment>
    <comment ref="C25" authorId="0">
      <text>
        <r>
          <rPr>
            <b/>
            <sz val="10"/>
            <color indexed="10"/>
            <rFont val="Times New Roman"/>
            <family val="1"/>
          </rPr>
          <t>Peppe:
Spuntare le celle relative a tutte le condizioni di ogni singolo figlio su ogni rigo  con X o V.
Indicare infine nella colonna mesi il numero dei  mesi a carico</t>
        </r>
      </text>
    </comment>
    <comment ref="D33" authorId="1">
      <text>
        <r>
          <rPr>
            <b/>
            <sz val="8"/>
            <color indexed="10"/>
            <rFont val="Times New Roman"/>
            <family val="1"/>
          </rPr>
          <t>Peppe:
Indicare il numero degli altri familiari a carico di cui all'art. 433 cod.civ.</t>
        </r>
      </text>
    </comment>
    <comment ref="G44" authorId="0">
      <text>
        <r>
          <rPr>
            <b/>
            <sz val="10"/>
            <color indexed="10"/>
            <rFont val="Times New Roman"/>
            <family val="1"/>
          </rPr>
          <t>Peppe:
Se il rapporto di lavoro è a tempo determinato, valorizzare la cella con X o V.
Automaticamente eliminerà la spunta nella cella superiore</t>
        </r>
      </text>
    </comment>
    <comment ref="O50" authorId="1">
      <text>
        <r>
          <rPr>
            <b/>
            <sz val="8"/>
            <color indexed="10"/>
            <rFont val="Tahoma"/>
            <family val="2"/>
          </rPr>
          <t>Peppe:
Se il versamento è diverso dall'imposizione indicare l'importo effettivamente versato</t>
        </r>
      </text>
    </comment>
  </commentList>
</comments>
</file>

<file path=xl/comments4.xml><?xml version="1.0" encoding="utf-8"?>
<comments xmlns="http://schemas.openxmlformats.org/spreadsheetml/2006/main">
  <authors>
    <author>Peppe</author>
    <author>Giuseppe Rizzo</author>
  </authors>
  <commentList>
    <comment ref="T21" authorId="0">
      <text>
        <r>
          <rPr>
            <b/>
            <sz val="10"/>
            <color indexed="10"/>
            <rFont val="Times New Roman"/>
            <family val="1"/>
          </rPr>
          <t>Peppe:
Indicare SI o NO</t>
        </r>
      </text>
    </comment>
    <comment ref="Y21" authorId="0">
      <text>
        <r>
          <rPr>
            <b/>
            <sz val="10"/>
            <color indexed="10"/>
            <rFont val="Times New Roman"/>
            <family val="1"/>
          </rPr>
          <t>Peppe:
Indicare i mesi a carico</t>
        </r>
      </text>
    </comment>
    <comment ref="T23" authorId="0">
      <text>
        <r>
          <rPr>
            <b/>
            <sz val="10"/>
            <color indexed="10"/>
            <rFont val="Times New Roman"/>
            <family val="1"/>
          </rPr>
          <t>Peppe:
Indicato il numero complessivo dei figli si apriranno automaticamente altrettanti righi  per le ulteriori specificazioni</t>
        </r>
      </text>
    </comment>
    <comment ref="AD23" authorId="0">
      <text>
        <r>
          <rPr>
            <b/>
            <sz val="10"/>
            <color indexed="10"/>
            <rFont val="Times New Roman"/>
            <family val="1"/>
          </rPr>
          <t>Peppe:
Spuntare la cella con una X o V 
Automaticamente evidenzierà la cella dove indicare i mesi a carico con questa qualità</t>
        </r>
      </text>
    </comment>
    <comment ref="S25" authorId="0">
      <text>
        <r>
          <rPr>
            <b/>
            <sz val="10"/>
            <color indexed="10"/>
            <rFont val="Times New Roman"/>
            <family val="1"/>
          </rPr>
          <t>Peppe:
Spuntare le celle relative a tutte le condizioni di ogni singolo figlio su ogni rigo  con X o V.
Indicare infine nella colonna mesi il numero dei  mesi a carico</t>
        </r>
      </text>
    </comment>
    <comment ref="T33" authorId="0">
      <text>
        <r>
          <rPr>
            <b/>
            <sz val="10"/>
            <color indexed="10"/>
            <rFont val="Times New Roman"/>
            <family val="1"/>
          </rPr>
          <t>Peppe:
Indicare il numero degli altri familiari a carico di cui all'art. 433 cod.civ.</t>
        </r>
      </text>
    </comment>
    <comment ref="W44" authorId="0">
      <text>
        <r>
          <rPr>
            <b/>
            <sz val="10"/>
            <color indexed="10"/>
            <rFont val="Times New Roman"/>
            <family val="1"/>
          </rPr>
          <t>Peppe:
Se il rapporto di lavoro è a tempo determinato, valorizzare la cella con X o V.
Automaticamente eliminerà la spunta nella cella superiore</t>
        </r>
      </text>
    </comment>
    <comment ref="D21" authorId="0">
      <text>
        <r>
          <rPr>
            <b/>
            <sz val="10"/>
            <color indexed="10"/>
            <rFont val="Times New Roman"/>
            <family val="1"/>
          </rPr>
          <t>Peppe:
Indicare SI o NO</t>
        </r>
      </text>
    </comment>
    <comment ref="D23" authorId="1">
      <text>
        <r>
          <rPr>
            <b/>
            <sz val="8"/>
            <color indexed="10"/>
            <rFont val="Tahoma"/>
            <family val="2"/>
          </rPr>
          <t>Peppe:
Indicato il numero complessivo dei figli si apriranno automaticamente le righe per le ulteriori specificazioni</t>
        </r>
      </text>
    </comment>
    <comment ref="C25" authorId="0">
      <text>
        <r>
          <rPr>
            <b/>
            <sz val="10"/>
            <color indexed="10"/>
            <rFont val="Times New Roman"/>
            <family val="1"/>
          </rPr>
          <t>Peppe:
Spuntare le celle relative a tutte le condizioni di ogni singolo figlio su ogni rigo  con X o V.
Indicare infine nella colonna mesi il numero dei  mesi a carico</t>
        </r>
      </text>
    </comment>
    <comment ref="D33" authorId="1">
      <text>
        <r>
          <rPr>
            <b/>
            <sz val="8"/>
            <color indexed="10"/>
            <rFont val="Times New Roman"/>
            <family val="1"/>
          </rPr>
          <t>Peppe:
Indicare il numero degli altri familiari a carico di cui all'art. 433 cod.civ.</t>
        </r>
      </text>
    </comment>
    <comment ref="G44" authorId="0">
      <text>
        <r>
          <rPr>
            <b/>
            <sz val="10"/>
            <color indexed="10"/>
            <rFont val="Times New Roman"/>
            <family val="1"/>
          </rPr>
          <t>Peppe:
Se il rapporto di lavoro è a tempo determinato, valorizzare la cella con X o V.
Automaticamente eliminerà la spunta nella cella superiore</t>
        </r>
      </text>
    </comment>
    <comment ref="O50" authorId="1">
      <text>
        <r>
          <rPr>
            <b/>
            <sz val="8"/>
            <color indexed="10"/>
            <rFont val="Tahoma"/>
            <family val="2"/>
          </rPr>
          <t>Peppe:
Se il versamento è diverso dall'imposizione indicare l'importo effettivamente versato</t>
        </r>
      </text>
    </comment>
  </commentList>
</comments>
</file>

<file path=xl/comments5.xml><?xml version="1.0" encoding="utf-8"?>
<comments xmlns="http://schemas.openxmlformats.org/spreadsheetml/2006/main">
  <authors>
    <author>Peppe</author>
    <author>Giuseppe Rizzo</author>
  </authors>
  <commentList>
    <comment ref="T21" authorId="0">
      <text>
        <r>
          <rPr>
            <b/>
            <sz val="10"/>
            <color indexed="10"/>
            <rFont val="Times New Roman"/>
            <family val="1"/>
          </rPr>
          <t>Peppe:
Indicare SI o NO</t>
        </r>
      </text>
    </comment>
    <comment ref="Y21" authorId="0">
      <text>
        <r>
          <rPr>
            <b/>
            <sz val="10"/>
            <color indexed="10"/>
            <rFont val="Times New Roman"/>
            <family val="1"/>
          </rPr>
          <t>Peppe:
Indicare i mesi a carico</t>
        </r>
      </text>
    </comment>
    <comment ref="T23" authorId="0">
      <text>
        <r>
          <rPr>
            <b/>
            <sz val="10"/>
            <color indexed="10"/>
            <rFont val="Times New Roman"/>
            <family val="1"/>
          </rPr>
          <t>Peppe:
Indicato il numero complessivo dei figli si apriranno automaticamente altrettanti righi  per le ulteriori specificazioni</t>
        </r>
      </text>
    </comment>
    <comment ref="AD23" authorId="0">
      <text>
        <r>
          <rPr>
            <b/>
            <sz val="10"/>
            <color indexed="10"/>
            <rFont val="Times New Roman"/>
            <family val="1"/>
          </rPr>
          <t>Peppe:
Spuntare la cella con una X o V 
Automaticamente evidenzierà la cella dove indicare i mesi a carico con questa qualità</t>
        </r>
      </text>
    </comment>
    <comment ref="S25" authorId="0">
      <text>
        <r>
          <rPr>
            <b/>
            <sz val="10"/>
            <color indexed="10"/>
            <rFont val="Times New Roman"/>
            <family val="1"/>
          </rPr>
          <t>Peppe:
Spuntare le celle relative a tutte le condizioni di ogni singolo figlio su ogni rigo  con X o V.
Indicare infine nella colonna mesi il numero dei  mesi a carico</t>
        </r>
      </text>
    </comment>
    <comment ref="T33" authorId="0">
      <text>
        <r>
          <rPr>
            <b/>
            <sz val="10"/>
            <color indexed="10"/>
            <rFont val="Times New Roman"/>
            <family val="1"/>
          </rPr>
          <t>Peppe:
Indicare il numero degli altri familiari a carico di cui all'art. 433 cod.civ.</t>
        </r>
      </text>
    </comment>
    <comment ref="W44" authorId="0">
      <text>
        <r>
          <rPr>
            <b/>
            <sz val="10"/>
            <color indexed="10"/>
            <rFont val="Times New Roman"/>
            <family val="1"/>
          </rPr>
          <t>Peppe:
Se il rapporto di lavoro è a tempo determinato, valorizzare la cella con X o V.
Automaticamente eliminerà la spunta nella cella superiore</t>
        </r>
      </text>
    </comment>
    <comment ref="D21" authorId="0">
      <text>
        <r>
          <rPr>
            <b/>
            <sz val="10"/>
            <color indexed="10"/>
            <rFont val="Times New Roman"/>
            <family val="1"/>
          </rPr>
          <t>Peppe:
Indicare SI o NO</t>
        </r>
      </text>
    </comment>
    <comment ref="D23" authorId="1">
      <text>
        <r>
          <rPr>
            <b/>
            <sz val="8"/>
            <color indexed="10"/>
            <rFont val="Tahoma"/>
            <family val="2"/>
          </rPr>
          <t>Peppe:
Indicato il numero complessivo dei figli si apriranno automaticamente le righe per le ulteriori specificazioni</t>
        </r>
      </text>
    </comment>
    <comment ref="C25" authorId="0">
      <text>
        <r>
          <rPr>
            <b/>
            <sz val="10"/>
            <color indexed="10"/>
            <rFont val="Times New Roman"/>
            <family val="1"/>
          </rPr>
          <t>Peppe:
Spuntare le celle relative a tutte le condizioni di ogni singolo figlio su ogni rigo  con X o V.
Indicare infine nella colonna mesi il numero dei  mesi a carico</t>
        </r>
      </text>
    </comment>
    <comment ref="D33" authorId="1">
      <text>
        <r>
          <rPr>
            <b/>
            <sz val="8"/>
            <color indexed="10"/>
            <rFont val="Times New Roman"/>
            <family val="1"/>
          </rPr>
          <t>Peppe:
Indicare il numero degli altri familiari a carico di cui all'art. 433 cod.civ.</t>
        </r>
      </text>
    </comment>
    <comment ref="G44" authorId="0">
      <text>
        <r>
          <rPr>
            <b/>
            <sz val="10"/>
            <color indexed="10"/>
            <rFont val="Times New Roman"/>
            <family val="1"/>
          </rPr>
          <t>Peppe:
Se il rapporto di lavoro è a tempo determinato, valorizzare la cella con X o V.
Automaticamente eliminerà la spunta nella cella superiore</t>
        </r>
      </text>
    </comment>
    <comment ref="O50" authorId="1">
      <text>
        <r>
          <rPr>
            <b/>
            <sz val="8"/>
            <color indexed="10"/>
            <rFont val="Tahoma"/>
            <family val="2"/>
          </rPr>
          <t>Peppe:
Se il versamento è diverso dall'imposizione indicare l'importo effettivamente versato</t>
        </r>
      </text>
    </comment>
  </commentList>
</comments>
</file>

<file path=xl/comments6.xml><?xml version="1.0" encoding="utf-8"?>
<comments xmlns="http://schemas.openxmlformats.org/spreadsheetml/2006/main">
  <authors>
    <author>Peppe</author>
    <author>Giuseppe Rizzo</author>
  </authors>
  <commentList>
    <comment ref="T21" authorId="0">
      <text>
        <r>
          <rPr>
            <b/>
            <sz val="10"/>
            <color indexed="10"/>
            <rFont val="Times New Roman"/>
            <family val="1"/>
          </rPr>
          <t>Peppe:
Indicare SI o NO</t>
        </r>
      </text>
    </comment>
    <comment ref="Y21" authorId="0">
      <text>
        <r>
          <rPr>
            <b/>
            <sz val="10"/>
            <color indexed="10"/>
            <rFont val="Times New Roman"/>
            <family val="1"/>
          </rPr>
          <t>Peppe:
Indicare i mesi a carico</t>
        </r>
      </text>
    </comment>
    <comment ref="T23" authorId="0">
      <text>
        <r>
          <rPr>
            <b/>
            <sz val="10"/>
            <color indexed="10"/>
            <rFont val="Times New Roman"/>
            <family val="1"/>
          </rPr>
          <t>Peppe:
Indicato il numero complessivo dei figli si apriranno automaticamente altrettanti righi  per le ulteriori specificazioni</t>
        </r>
      </text>
    </comment>
    <comment ref="AD23" authorId="0">
      <text>
        <r>
          <rPr>
            <b/>
            <sz val="10"/>
            <color indexed="10"/>
            <rFont val="Times New Roman"/>
            <family val="1"/>
          </rPr>
          <t>Peppe:
Spuntare la cella con una X o V 
Automaticamente evidenzierà la cella dove indicare i mesi a carico con questa qualità</t>
        </r>
      </text>
    </comment>
    <comment ref="S25" authorId="0">
      <text>
        <r>
          <rPr>
            <b/>
            <sz val="10"/>
            <color indexed="10"/>
            <rFont val="Times New Roman"/>
            <family val="1"/>
          </rPr>
          <t>Peppe:
Spuntare le celle relative a tutte le condizioni di ogni singolo figlio su ogni rigo  con X o V.
Indicare infine nella colonna mesi il numero dei  mesi a carico</t>
        </r>
      </text>
    </comment>
    <comment ref="T33" authorId="0">
      <text>
        <r>
          <rPr>
            <b/>
            <sz val="10"/>
            <color indexed="10"/>
            <rFont val="Times New Roman"/>
            <family val="1"/>
          </rPr>
          <t>Peppe:
Indicare il numero degli altri familiari a carico di cui all'art. 433 cod.civ.</t>
        </r>
      </text>
    </comment>
    <comment ref="W44" authorId="0">
      <text>
        <r>
          <rPr>
            <b/>
            <sz val="10"/>
            <color indexed="10"/>
            <rFont val="Times New Roman"/>
            <family val="1"/>
          </rPr>
          <t>Peppe:
Se il rapporto di lavoro è a tempo determinato, valorizzare la cella con X o V.
Automaticamente eliminerà la spunta nella cella superiore</t>
        </r>
      </text>
    </comment>
    <comment ref="D21" authorId="0">
      <text>
        <r>
          <rPr>
            <b/>
            <sz val="10"/>
            <color indexed="10"/>
            <rFont val="Times New Roman"/>
            <family val="1"/>
          </rPr>
          <t>Peppe:
Indicare SI o NO</t>
        </r>
      </text>
    </comment>
    <comment ref="D23" authorId="1">
      <text>
        <r>
          <rPr>
            <b/>
            <sz val="8"/>
            <color indexed="10"/>
            <rFont val="Tahoma"/>
            <family val="2"/>
          </rPr>
          <t>Peppe:
Indicato il numero complessivo dei figli si apriranno automaticamente le righe per le ulteriori specificazioni</t>
        </r>
      </text>
    </comment>
    <comment ref="C25" authorId="0">
      <text>
        <r>
          <rPr>
            <b/>
            <sz val="10"/>
            <color indexed="10"/>
            <rFont val="Times New Roman"/>
            <family val="1"/>
          </rPr>
          <t>Peppe:
Spuntare le celle relative a tutte le condizioni di ogni singolo figlio su ogni rigo  con X o V.
Indicare infine nella colonna mesi il numero dei  mesi a carico</t>
        </r>
      </text>
    </comment>
    <comment ref="D33" authorId="1">
      <text>
        <r>
          <rPr>
            <b/>
            <sz val="8"/>
            <color indexed="10"/>
            <rFont val="Times New Roman"/>
            <family val="1"/>
          </rPr>
          <t>Peppe:
Indicare il numero degli altri familiari a carico di cui all'art. 433 cod.civ.</t>
        </r>
      </text>
    </comment>
    <comment ref="G44" authorId="0">
      <text>
        <r>
          <rPr>
            <b/>
            <sz val="10"/>
            <color indexed="10"/>
            <rFont val="Times New Roman"/>
            <family val="1"/>
          </rPr>
          <t>Peppe:
Se il rapporto di lavoro è a tempo determinato, valorizzare la cella con X o V.
Automaticamente eliminerà la spunta nella cella superiore</t>
        </r>
      </text>
    </comment>
    <comment ref="O50" authorId="1">
      <text>
        <r>
          <rPr>
            <b/>
            <sz val="8"/>
            <color indexed="10"/>
            <rFont val="Tahoma"/>
            <family val="2"/>
          </rPr>
          <t>Peppe:
Se il versamento è diverso dall'imposizione indicare l'importo effettivamente versato</t>
        </r>
      </text>
    </comment>
  </commentList>
</comments>
</file>

<file path=xl/comments7.xml><?xml version="1.0" encoding="utf-8"?>
<comments xmlns="http://schemas.openxmlformats.org/spreadsheetml/2006/main">
  <authors>
    <author>Peppe</author>
    <author>Giuseppe Rizzo</author>
  </authors>
  <commentList>
    <comment ref="T21" authorId="0">
      <text>
        <r>
          <rPr>
            <b/>
            <sz val="10"/>
            <color indexed="10"/>
            <rFont val="Times New Roman"/>
            <family val="1"/>
          </rPr>
          <t>Peppe:
Indicare SI o NO</t>
        </r>
      </text>
    </comment>
    <comment ref="Y21" authorId="0">
      <text>
        <r>
          <rPr>
            <b/>
            <sz val="10"/>
            <color indexed="10"/>
            <rFont val="Times New Roman"/>
            <family val="1"/>
          </rPr>
          <t>Peppe:
Indicare i mesi a carico</t>
        </r>
      </text>
    </comment>
    <comment ref="T23" authorId="0">
      <text>
        <r>
          <rPr>
            <b/>
            <sz val="10"/>
            <color indexed="10"/>
            <rFont val="Times New Roman"/>
            <family val="1"/>
          </rPr>
          <t>Peppe:
Indicato il numero complessivo dei figli si apriranno automaticamente altrettanti righi  per le ulteriori specificazioni</t>
        </r>
      </text>
    </comment>
    <comment ref="AD23" authorId="0">
      <text>
        <r>
          <rPr>
            <b/>
            <sz val="10"/>
            <color indexed="10"/>
            <rFont val="Times New Roman"/>
            <family val="1"/>
          </rPr>
          <t>Peppe:
Spuntare la cella con una X o V 
Automaticamente evidenzierà la cella dove indicare i mesi a carico con questa qualità</t>
        </r>
      </text>
    </comment>
    <comment ref="S25" authorId="0">
      <text>
        <r>
          <rPr>
            <b/>
            <sz val="10"/>
            <color indexed="10"/>
            <rFont val="Times New Roman"/>
            <family val="1"/>
          </rPr>
          <t>Peppe:
Spuntare le celle relative a tutte le condizioni di ogni singolo figlio su ogni rigo  con X o V.
Indicare infine nella colonna mesi il numero dei  mesi a carico</t>
        </r>
      </text>
    </comment>
    <comment ref="T33" authorId="0">
      <text>
        <r>
          <rPr>
            <b/>
            <sz val="10"/>
            <color indexed="10"/>
            <rFont val="Times New Roman"/>
            <family val="1"/>
          </rPr>
          <t>Peppe:
Indicare il numero degli altri familiari a carico di cui all'art. 433 cod.civ.</t>
        </r>
      </text>
    </comment>
    <comment ref="W44" authorId="0">
      <text>
        <r>
          <rPr>
            <b/>
            <sz val="10"/>
            <color indexed="10"/>
            <rFont val="Times New Roman"/>
            <family val="1"/>
          </rPr>
          <t>Peppe:
Se il rapporto di lavoro è a tempo determinato, valorizzare la cella con X o V.
Automaticamente eliminerà la spunta nella cella superiore</t>
        </r>
      </text>
    </comment>
    <comment ref="D21" authorId="0">
      <text>
        <r>
          <rPr>
            <b/>
            <sz val="10"/>
            <color indexed="10"/>
            <rFont val="Times New Roman"/>
            <family val="1"/>
          </rPr>
          <t>Peppe:
Indicare SI o NO</t>
        </r>
      </text>
    </comment>
    <comment ref="D23" authorId="1">
      <text>
        <r>
          <rPr>
            <b/>
            <sz val="8"/>
            <color indexed="10"/>
            <rFont val="Tahoma"/>
            <family val="2"/>
          </rPr>
          <t>Peppe:
Indicato il numero complessivo dei figli si apriranno automaticamente le righe per le ulteriori specificazioni</t>
        </r>
      </text>
    </comment>
    <comment ref="C25" authorId="0">
      <text>
        <r>
          <rPr>
            <b/>
            <sz val="10"/>
            <color indexed="10"/>
            <rFont val="Times New Roman"/>
            <family val="1"/>
          </rPr>
          <t>Peppe:
Spuntare le celle relative a tutte le condizioni di ogni singolo figlio su ogni rigo  con X o V.
Indicare infine nella colonna mesi il numero dei  mesi a carico</t>
        </r>
      </text>
    </comment>
    <comment ref="D33" authorId="1">
      <text>
        <r>
          <rPr>
            <b/>
            <sz val="8"/>
            <color indexed="10"/>
            <rFont val="Times New Roman"/>
            <family val="1"/>
          </rPr>
          <t>Peppe:
Indicare il numero degli altri familiari a carico di cui all'art. 433 cod.civ.</t>
        </r>
      </text>
    </comment>
    <comment ref="G44" authorId="0">
      <text>
        <r>
          <rPr>
            <b/>
            <sz val="10"/>
            <color indexed="10"/>
            <rFont val="Times New Roman"/>
            <family val="1"/>
          </rPr>
          <t>Peppe:
Se il rapporto di lavoro è a tempo determinato, valorizzare la cella con X o V.
Automaticamente eliminerà la spunta nella cella superiore</t>
        </r>
      </text>
    </comment>
    <comment ref="O50" authorId="1">
      <text>
        <r>
          <rPr>
            <b/>
            <sz val="8"/>
            <color indexed="10"/>
            <rFont val="Tahoma"/>
            <family val="2"/>
          </rPr>
          <t>Peppe:
Se il versamento è diverso dall'imposizione indicare l'importo effettivamente versato</t>
        </r>
      </text>
    </comment>
  </commentList>
</comments>
</file>

<file path=xl/comments8.xml><?xml version="1.0" encoding="utf-8"?>
<comments xmlns="http://schemas.openxmlformats.org/spreadsheetml/2006/main">
  <authors>
    <author>Peppe</author>
    <author>Giuseppe Rizzo</author>
  </authors>
  <commentList>
    <comment ref="T21" authorId="0">
      <text>
        <r>
          <rPr>
            <b/>
            <sz val="10"/>
            <color indexed="10"/>
            <rFont val="Times New Roman"/>
            <family val="1"/>
          </rPr>
          <t>Peppe:
Indicare SI o NO</t>
        </r>
      </text>
    </comment>
    <comment ref="Y21" authorId="0">
      <text>
        <r>
          <rPr>
            <b/>
            <sz val="10"/>
            <color indexed="10"/>
            <rFont val="Times New Roman"/>
            <family val="1"/>
          </rPr>
          <t>Peppe:
Indicare i mesi a carico</t>
        </r>
      </text>
    </comment>
    <comment ref="T23" authorId="0">
      <text>
        <r>
          <rPr>
            <b/>
            <sz val="10"/>
            <color indexed="10"/>
            <rFont val="Times New Roman"/>
            <family val="1"/>
          </rPr>
          <t>Peppe:
Indicato il numero complessivo dei figli si apriranno automaticamente altrettanti righi  per le ulteriori specificazioni</t>
        </r>
      </text>
    </comment>
    <comment ref="AD23" authorId="0">
      <text>
        <r>
          <rPr>
            <b/>
            <sz val="10"/>
            <color indexed="10"/>
            <rFont val="Times New Roman"/>
            <family val="1"/>
          </rPr>
          <t>Peppe:
Spuntare la cella con una X o V 
Automaticamente evidenzierà la cella dove indicare i mesi a carico con questa qualità</t>
        </r>
      </text>
    </comment>
    <comment ref="S25" authorId="0">
      <text>
        <r>
          <rPr>
            <b/>
            <sz val="10"/>
            <color indexed="10"/>
            <rFont val="Times New Roman"/>
            <family val="1"/>
          </rPr>
          <t>Peppe:
Spuntare le celle relative a tutte le condizioni di ogni singolo figlio su ogni rigo  con X o V.
Indicare infine nella colonna mesi il numero dei  mesi a carico</t>
        </r>
      </text>
    </comment>
    <comment ref="T33" authorId="0">
      <text>
        <r>
          <rPr>
            <b/>
            <sz val="10"/>
            <color indexed="10"/>
            <rFont val="Times New Roman"/>
            <family val="1"/>
          </rPr>
          <t>Peppe:
Indicare il numero degli altri familiari a carico di cui all'art. 433 cod.civ.</t>
        </r>
      </text>
    </comment>
    <comment ref="W44" authorId="0">
      <text>
        <r>
          <rPr>
            <b/>
            <sz val="10"/>
            <color indexed="10"/>
            <rFont val="Times New Roman"/>
            <family val="1"/>
          </rPr>
          <t>Peppe:
Se il rapporto di lavoro è a tempo determinato, valorizzare la cella con X o V.
Automaticamente eliminerà la spunta nella cella superiore</t>
        </r>
      </text>
    </comment>
    <comment ref="D21" authorId="0">
      <text>
        <r>
          <rPr>
            <b/>
            <sz val="10"/>
            <color indexed="10"/>
            <rFont val="Times New Roman"/>
            <family val="1"/>
          </rPr>
          <t>Peppe:
Indicare SI o NO</t>
        </r>
      </text>
    </comment>
    <comment ref="D23" authorId="1">
      <text>
        <r>
          <rPr>
            <b/>
            <sz val="8"/>
            <color indexed="10"/>
            <rFont val="Tahoma"/>
            <family val="2"/>
          </rPr>
          <t>Peppe:
Indicato il numero complessivo dei figli si apriranno automaticamente le righe per le ulteriori specificazioni</t>
        </r>
      </text>
    </comment>
    <comment ref="C25" authorId="0">
      <text>
        <r>
          <rPr>
            <b/>
            <sz val="10"/>
            <color indexed="10"/>
            <rFont val="Times New Roman"/>
            <family val="1"/>
          </rPr>
          <t>Peppe:
Spuntare le celle relative a tutte le condizioni di ogni singolo figlio su ogni rigo  con X o V.
Indicare infine nella colonna mesi il numero dei  mesi a carico</t>
        </r>
      </text>
    </comment>
    <comment ref="D33" authorId="1">
      <text>
        <r>
          <rPr>
            <b/>
            <sz val="8"/>
            <color indexed="10"/>
            <rFont val="Times New Roman"/>
            <family val="1"/>
          </rPr>
          <t>Peppe:
Indicare il numero degli altri familiari a carico di cui all'art. 433 cod.civ.</t>
        </r>
      </text>
    </comment>
    <comment ref="G44" authorId="0">
      <text>
        <r>
          <rPr>
            <b/>
            <sz val="10"/>
            <color indexed="10"/>
            <rFont val="Times New Roman"/>
            <family val="1"/>
          </rPr>
          <t>Peppe:
Se il rapporto di lavoro è a tempo determinato, valorizzare la cella con X o V.
Automaticamente eliminerà la spunta nella cella superiore</t>
        </r>
      </text>
    </comment>
    <comment ref="O50" authorId="1">
      <text>
        <r>
          <rPr>
            <b/>
            <sz val="8"/>
            <color indexed="10"/>
            <rFont val="Tahoma"/>
            <family val="2"/>
          </rPr>
          <t>Peppe:
Se il versamento è diverso dall'imposizione indicare l'importo effettivamente versato</t>
        </r>
      </text>
    </comment>
  </commentList>
</comments>
</file>

<file path=xl/comments9.xml><?xml version="1.0" encoding="utf-8"?>
<comments xmlns="http://schemas.openxmlformats.org/spreadsheetml/2006/main">
  <authors>
    <author>Peppe</author>
    <author>Giuseppe Rizzo</author>
  </authors>
  <commentList>
    <comment ref="T21" authorId="0">
      <text>
        <r>
          <rPr>
            <b/>
            <sz val="10"/>
            <color indexed="10"/>
            <rFont val="Times New Roman"/>
            <family val="1"/>
          </rPr>
          <t>Peppe:
Indicare SI o NO</t>
        </r>
      </text>
    </comment>
    <comment ref="Y21" authorId="0">
      <text>
        <r>
          <rPr>
            <b/>
            <sz val="10"/>
            <color indexed="10"/>
            <rFont val="Times New Roman"/>
            <family val="1"/>
          </rPr>
          <t>Peppe:
Indicare i mesi a carico</t>
        </r>
      </text>
    </comment>
    <comment ref="T23" authorId="0">
      <text>
        <r>
          <rPr>
            <b/>
            <sz val="10"/>
            <color indexed="10"/>
            <rFont val="Times New Roman"/>
            <family val="1"/>
          </rPr>
          <t>Peppe:
Indicato il numero complessivo dei figli si apriranno automaticamente altrettanti righi  per le ulteriori specificazioni</t>
        </r>
      </text>
    </comment>
    <comment ref="AD23" authorId="0">
      <text>
        <r>
          <rPr>
            <b/>
            <sz val="10"/>
            <color indexed="10"/>
            <rFont val="Times New Roman"/>
            <family val="1"/>
          </rPr>
          <t>Peppe:
Spuntare la cella con una X o V 
Automaticamente evidenzierà la cella dove indicare i mesi a carico con questa qualità</t>
        </r>
      </text>
    </comment>
    <comment ref="S25" authorId="0">
      <text>
        <r>
          <rPr>
            <b/>
            <sz val="10"/>
            <color indexed="10"/>
            <rFont val="Times New Roman"/>
            <family val="1"/>
          </rPr>
          <t>Peppe:
Spuntare le celle relative a tutte le condizioni di ogni singolo figlio su ogni rigo  con X o V.
Indicare infine nella colonna mesi il numero dei  mesi a carico</t>
        </r>
      </text>
    </comment>
    <comment ref="T33" authorId="0">
      <text>
        <r>
          <rPr>
            <b/>
            <sz val="10"/>
            <color indexed="10"/>
            <rFont val="Times New Roman"/>
            <family val="1"/>
          </rPr>
          <t>Peppe:
Indicare il numero degli altri familiari a carico di cui all'art. 433 cod.civ.</t>
        </r>
      </text>
    </comment>
    <comment ref="W44" authorId="0">
      <text>
        <r>
          <rPr>
            <b/>
            <sz val="10"/>
            <color indexed="10"/>
            <rFont val="Times New Roman"/>
            <family val="1"/>
          </rPr>
          <t>Peppe:
Se il rapporto di lavoro è a tempo determinato, valorizzare la cella con X o V.
Automaticamente eliminerà la spunta nella cella superiore</t>
        </r>
      </text>
    </comment>
    <comment ref="D21" authorId="0">
      <text>
        <r>
          <rPr>
            <b/>
            <sz val="10"/>
            <color indexed="10"/>
            <rFont val="Times New Roman"/>
            <family val="1"/>
          </rPr>
          <t>Peppe:
Indicare SI o NO</t>
        </r>
      </text>
    </comment>
    <comment ref="D23" authorId="1">
      <text>
        <r>
          <rPr>
            <b/>
            <sz val="8"/>
            <color indexed="10"/>
            <rFont val="Tahoma"/>
            <family val="2"/>
          </rPr>
          <t>Peppe:
Indicato il numero complessivo dei figli si apriranno automaticamente le righe per le ulteriori specificazioni</t>
        </r>
      </text>
    </comment>
    <comment ref="C25" authorId="0">
      <text>
        <r>
          <rPr>
            <b/>
            <sz val="10"/>
            <color indexed="10"/>
            <rFont val="Times New Roman"/>
            <family val="1"/>
          </rPr>
          <t>Peppe:
Spuntare le celle relative a tutte le condizioni di ogni singolo figlio su ogni rigo  con X o V.
Indicare infine nella colonna mesi il numero dei  mesi a carico</t>
        </r>
      </text>
    </comment>
    <comment ref="D33" authorId="1">
      <text>
        <r>
          <rPr>
            <b/>
            <sz val="8"/>
            <color indexed="10"/>
            <rFont val="Times New Roman"/>
            <family val="1"/>
          </rPr>
          <t>Peppe:
Indicare il numero degli altri familiari a carico di cui all'art. 433 cod.civ.</t>
        </r>
      </text>
    </comment>
    <comment ref="G44" authorId="0">
      <text>
        <r>
          <rPr>
            <b/>
            <sz val="10"/>
            <color indexed="10"/>
            <rFont val="Times New Roman"/>
            <family val="1"/>
          </rPr>
          <t>Peppe:
Se il rapporto di lavoro è a tempo determinato, valorizzare la cella con X o V.
Automaticamente eliminerà la spunta nella cella superiore</t>
        </r>
      </text>
    </comment>
    <comment ref="O50" authorId="1">
      <text>
        <r>
          <rPr>
            <b/>
            <sz val="8"/>
            <color indexed="10"/>
            <rFont val="Tahoma"/>
            <family val="2"/>
          </rPr>
          <t>Peppe:
Se il versamento è diverso dall'imposizione indicare l'importo effettivamente versato</t>
        </r>
      </text>
    </comment>
  </commentList>
</comments>
</file>

<file path=xl/sharedStrings.xml><?xml version="1.0" encoding="utf-8"?>
<sst xmlns="http://schemas.openxmlformats.org/spreadsheetml/2006/main" count="2444" uniqueCount="151">
  <si>
    <t>UFFICIO UNICO NOTIFICAZIONI ESECUZIONI PROTESTI - DIRIGENZA</t>
  </si>
  <si>
    <t>TRIBUNALE DI TERMINI IMERESE</t>
  </si>
  <si>
    <t xml:space="preserve">A  N  N  O   </t>
  </si>
  <si>
    <t>Ufficiale Giudiziario</t>
  </si>
  <si>
    <t>C1</t>
  </si>
  <si>
    <t>C.F. :</t>
  </si>
  <si>
    <t xml:space="preserve">nato a   </t>
  </si>
  <si>
    <t xml:space="preserve">il   </t>
  </si>
  <si>
    <t>Emolumenti</t>
  </si>
  <si>
    <t>Contributi Obbligatori</t>
  </si>
  <si>
    <t>Opera di Previdenza</t>
  </si>
  <si>
    <t>Indennità di Amministrazione</t>
  </si>
  <si>
    <t>Trasferte imponibili</t>
  </si>
  <si>
    <t>Eventuali</t>
  </si>
  <si>
    <t>Percentuale</t>
  </si>
  <si>
    <t>Totale</t>
  </si>
  <si>
    <t>Gratifica Annuale</t>
  </si>
  <si>
    <t>Arretrati tassazione corrente</t>
  </si>
  <si>
    <t>%</t>
  </si>
  <si>
    <t>Coniuge   …………………………………………………………..</t>
  </si>
  <si>
    <t>Reddito Imponibile   ……………………………………….</t>
  </si>
  <si>
    <t>Addizionali</t>
  </si>
  <si>
    <t>Aliquota</t>
  </si>
  <si>
    <t>Imponibile</t>
  </si>
  <si>
    <t>Importo Annuale</t>
  </si>
  <si>
    <t>N. Rate</t>
  </si>
  <si>
    <t>Importo Mensile</t>
  </si>
  <si>
    <t>Addizionale Regionale</t>
  </si>
  <si>
    <t>Addizionale Comunale</t>
  </si>
  <si>
    <t>Aliquote</t>
  </si>
  <si>
    <t>da</t>
  </si>
  <si>
    <t>a</t>
  </si>
  <si>
    <t>Detrazioni</t>
  </si>
  <si>
    <t>Coniuge</t>
  </si>
  <si>
    <t>Figlio</t>
  </si>
  <si>
    <t>Altre</t>
  </si>
  <si>
    <t>Totale detrazioni spettanti   ………………………………..</t>
  </si>
  <si>
    <t>Importo</t>
  </si>
  <si>
    <t>Familiare</t>
  </si>
  <si>
    <t xml:space="preserve">Reddito Netto </t>
  </si>
  <si>
    <t>detrazione</t>
  </si>
  <si>
    <t>Rapporto</t>
  </si>
  <si>
    <t>Figli    ………………...…………………………………………….</t>
  </si>
  <si>
    <t>Rapporti</t>
  </si>
  <si>
    <t>Lett.a)c.1</t>
  </si>
  <si>
    <t>Indice Rapporti</t>
  </si>
  <si>
    <t>Figli</t>
  </si>
  <si>
    <t>Importo Fisso</t>
  </si>
  <si>
    <t>Aumento Fisso</t>
  </si>
  <si>
    <t>&lt; anni 3</t>
  </si>
  <si>
    <t>handicap</t>
  </si>
  <si>
    <t>figlio</t>
  </si>
  <si>
    <t>Somma Figli</t>
  </si>
  <si>
    <t>Importo fisso finale</t>
  </si>
  <si>
    <t>Detrazione spett.</t>
  </si>
  <si>
    <t>Detrazione tab.</t>
  </si>
  <si>
    <t>Altri familiari a carico  ……………………………………………</t>
  </si>
  <si>
    <t>Altri</t>
  </si>
  <si>
    <t>x</t>
  </si>
  <si>
    <t>Port. handicap</t>
  </si>
  <si>
    <t>IRPEF tabellare   ………………………………..</t>
  </si>
  <si>
    <t>Imposizione fiscale (IRPEF) Annuale   ………………………</t>
  </si>
  <si>
    <t>Coniuge Anno</t>
  </si>
  <si>
    <t>!° figlio assenza coniuge anno</t>
  </si>
  <si>
    <t>&gt; 3 anni</t>
  </si>
  <si>
    <t>&lt; 3 anni</t>
  </si>
  <si>
    <t>Familiari a Carico</t>
  </si>
  <si>
    <t>Figli : Numero complessivo</t>
  </si>
  <si>
    <t xml:space="preserve">        </t>
  </si>
  <si>
    <t>Percentuale ripartizione detrazione tra i coniugi:  fisso 50%; previo accordo 0 o 100</t>
  </si>
  <si>
    <t>DETRAZIONI CARICHI DI FAMIGLIA (art. 12 TUIR)</t>
  </si>
  <si>
    <t>ALTRE DETRAZIONI  (art. 13 TUIR)</t>
  </si>
  <si>
    <t>Altre detrazioni</t>
  </si>
  <si>
    <t>Rapporto di lavoro a tempo indeterminato</t>
  </si>
  <si>
    <t>Rapporto di lavoro a tempo determinato</t>
  </si>
  <si>
    <t>Periodo di lavoro nell'anno mesi</t>
  </si>
  <si>
    <t>Totale detrazioni per carichi di famiglia ………………….</t>
  </si>
  <si>
    <t>Detrazione spettante ……………………</t>
  </si>
  <si>
    <t>Stipendio Tabellare + RIA</t>
  </si>
  <si>
    <t>Acconto 30%</t>
  </si>
  <si>
    <t>Mesi</t>
  </si>
  <si>
    <t>giuseppe.rizzo03@giustizia.it</t>
  </si>
  <si>
    <t>giurizzo@virgilio.it</t>
  </si>
  <si>
    <t>Per l'iserimento dei dati leggere i commenti per ogni cella da valorizzare, puntando il mouse sulla cella stessa</t>
  </si>
  <si>
    <t>Giuseppe Rizzo                             Dirigente Unep Termini Imerese</t>
  </si>
  <si>
    <t>IMPOSTA SUL REDDITO  -  ANNUALE</t>
  </si>
  <si>
    <t>Altri familiari a carico n.</t>
  </si>
  <si>
    <t>Codice Regione</t>
  </si>
  <si>
    <t>Codice Comune</t>
  </si>
  <si>
    <t>G273</t>
  </si>
  <si>
    <t>Residente</t>
  </si>
  <si>
    <t>Acconto 2008 del 30%</t>
  </si>
  <si>
    <t>Acconto 2008 da  versare dal mese di Marzo 2008 in max 9 rate da aggiungere alle rate sul reddito 2007</t>
  </si>
  <si>
    <t>Reddito imponibile mensile</t>
  </si>
  <si>
    <t>Palermo</t>
  </si>
  <si>
    <t>fino a</t>
  </si>
  <si>
    <t>&gt; di 75.000,00</t>
  </si>
  <si>
    <t>Giuseppe Rizzo                                         Dirigente Unep Termini Imerese</t>
  </si>
  <si>
    <t>Attenzione: in caso di variazione delle aliquote e/o degli scaglioni, sblocare la tabella con il pulsante "Sblocca". Quindi procedere al blocco con il pulsante successivo</t>
  </si>
  <si>
    <t>Attenzione: le detrazioni sono arrotodate a cifra intera.                Per il computo della detrazione lo stipendio mensile viene rapportato a tredici mensilità</t>
  </si>
  <si>
    <t>Password: loredana76</t>
  </si>
  <si>
    <t>Aliquote contributive</t>
  </si>
  <si>
    <t>C.P.U.G.</t>
  </si>
  <si>
    <t>Fondo Credito</t>
  </si>
  <si>
    <t>Opere Previdenza</t>
  </si>
  <si>
    <t xml:space="preserve">Sul 80% </t>
  </si>
  <si>
    <t>Sul 100%</t>
  </si>
  <si>
    <t>Aliquote Irpef</t>
  </si>
  <si>
    <t>Eventuali         (sconta O.P.)</t>
  </si>
  <si>
    <t>Eventuali         (non sconta O.P.)</t>
  </si>
  <si>
    <t>IMPOSTA SUL REDDITO  -  MENSILE</t>
  </si>
  <si>
    <t>Cassa Pensione Stipendio</t>
  </si>
  <si>
    <t>Fondo di Credito Stipendio</t>
  </si>
  <si>
    <t>Cassa Pensione Trasf + Perc</t>
  </si>
  <si>
    <t>Fondo Credito Trasf + Perc</t>
  </si>
  <si>
    <t>OP+CGUG+FC Gratifica Ann</t>
  </si>
  <si>
    <t>OP+CGUG+FC Arretrati</t>
  </si>
  <si>
    <t>Reddito detrazioni13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</si>
  <si>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</si>
  <si>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</si>
  <si>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</si>
  <si>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</si>
  <si>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</si>
  <si>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</si>
  <si>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</si>
  <si>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</si>
  <si>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</si>
  <si>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</si>
  <si>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</si>
  <si>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</si>
  <si>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Conguaglio Fiscale</t>
  </si>
  <si>
    <t>Irpef effettivamente versata</t>
  </si>
  <si>
    <t>Emolumenti altra sede</t>
  </si>
  <si>
    <t>C. F. altri</t>
  </si>
  <si>
    <t>Emolumenti complessivi altri</t>
  </si>
  <si>
    <t>Contributi complessivi altri</t>
  </si>
  <si>
    <t>Totale Emolumenti  complessivi</t>
  </si>
  <si>
    <t>Totale contributi complessivi</t>
  </si>
  <si>
    <t>C. F. Ufficio</t>
  </si>
  <si>
    <t>Gratifica</t>
  </si>
  <si>
    <t>Periodo di lavoro nell'anno giorni</t>
  </si>
  <si>
    <t>Periodo di lavoro nel mese</t>
  </si>
  <si>
    <t>Reddito Imponibile……………………….</t>
  </si>
  <si>
    <t>IRPEF tabellare………………………….</t>
  </si>
  <si>
    <t>Totale detrazioni spettanti……………….</t>
  </si>
  <si>
    <t>Imposizione fiscale (IRPEF) Annuale...…</t>
  </si>
  <si>
    <t>Aliquota massima applicata</t>
  </si>
  <si>
    <t>Imposizione fiscale (IRPEF) Mensile...…</t>
  </si>
  <si>
    <t>Imprevisto</t>
  </si>
  <si>
    <t>Eventuali             (con O.P.)</t>
  </si>
  <si>
    <t>Eventuali          (senza O.P.)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</si>
</sst>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* #,##0.0_-;\-* #,##0.0_-;_-* &quot;-&quot;_-;_-@_-"/>
    <numFmt numFmtId="172" formatCode="_-* #,##0.00_-;\-* #,##0.00_-;_-* &quot;-&quot;_-;_-@_-"/>
    <numFmt numFmtId="173" formatCode="0.0%"/>
    <numFmt numFmtId="174" formatCode="d/m/yy"/>
    <numFmt numFmtId="175" formatCode="mmmm\-yy"/>
    <numFmt numFmtId="176" formatCode="00000"/>
    <numFmt numFmtId="177" formatCode="d\ mmmm\ yyyy"/>
    <numFmt numFmtId="178" formatCode="d/m/yyyy"/>
    <numFmt numFmtId="179" formatCode="0_ ;\-0\ "/>
    <numFmt numFmtId="180" formatCode="dd/mm/yy"/>
    <numFmt numFmtId="181" formatCode="0.0"/>
    <numFmt numFmtId="182" formatCode="mm"/>
    <numFmt numFmtId="183" formatCode="mmm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#,##0.0"/>
    <numFmt numFmtId="188" formatCode="_-* #,##0.000_-;\-* #,##0.000_-;_-* &quot;-&quot;??_-;_-@_-"/>
    <numFmt numFmtId="189" formatCode="_-* #,##0.0000_-;\-* #,##0.0000_-;_-* &quot;-&quot;??_-;_-@_-"/>
    <numFmt numFmtId="190" formatCode="_-* #,##0.0_-;\-* #,##0.0_-;_-* &quot;-&quot;??_-;_-@_-"/>
    <numFmt numFmtId="191" formatCode="_-* #,##0_-;\-* #,##0_-;_-* &quot;-&quot;??_-;_-@_-"/>
    <numFmt numFmtId="192" formatCode="_-* #,##0.0000_-;\-* #,##0.0000_-;_-* &quot;-&quot;????_-;_-@_-"/>
    <numFmt numFmtId="193" formatCode="yyyy"/>
    <numFmt numFmtId="194" formatCode="[$-410]dddd\ d\ mmmm\ yyyy"/>
    <numFmt numFmtId="195" formatCode="mm/yyyy"/>
    <numFmt numFmtId="196" formatCode="mmm/yyyy"/>
    <numFmt numFmtId="197" formatCode="mmm\-yyyy"/>
    <numFmt numFmtId="198" formatCode="0.0000"/>
    <numFmt numFmtId="199" formatCode="0.000000"/>
    <numFmt numFmtId="200" formatCode="0.00000"/>
    <numFmt numFmtId="201" formatCode="0.000"/>
    <numFmt numFmtId="202" formatCode="0.000%"/>
  </numFmts>
  <fonts count="21"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18"/>
      <name val="Times New Roman"/>
      <family val="1"/>
    </font>
    <font>
      <sz val="8"/>
      <name val="Times New Roman"/>
      <family val="0"/>
    </font>
    <font>
      <sz val="6"/>
      <name val="Times New Roman"/>
      <family val="0"/>
    </font>
    <font>
      <b/>
      <i/>
      <sz val="10"/>
      <color indexed="18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ahoma"/>
      <family val="2"/>
    </font>
    <font>
      <b/>
      <sz val="8"/>
      <color indexed="10"/>
      <name val="Times New Roman"/>
      <family val="1"/>
    </font>
    <font>
      <b/>
      <i/>
      <sz val="12"/>
      <name val="Times New Roman"/>
      <family val="1"/>
    </font>
    <font>
      <b/>
      <i/>
      <sz val="11"/>
      <color indexed="10"/>
      <name val="Times New Roman"/>
      <family val="1"/>
    </font>
    <font>
      <b/>
      <i/>
      <sz val="14"/>
      <name val="Times New Roman"/>
      <family val="1"/>
    </font>
    <font>
      <sz val="10"/>
      <color indexed="10"/>
      <name val="Times New Roman"/>
      <family val="0"/>
    </font>
    <font>
      <b/>
      <i/>
      <sz val="8"/>
      <color indexed="10"/>
      <name val="Tahoma"/>
      <family val="2"/>
    </font>
    <font>
      <b/>
      <i/>
      <sz val="14"/>
      <color indexed="10"/>
      <name val="Times New Roman"/>
      <family val="1"/>
    </font>
    <font>
      <b/>
      <sz val="8"/>
      <name val="Times New Roman"/>
      <family val="2"/>
    </font>
  </fonts>
  <fills count="12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/>
      <top>
        <color indexed="63"/>
      </top>
      <bottom style="thin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>
        <color indexed="10"/>
      </left>
      <right style="thin"/>
      <top style="hair"/>
      <bottom style="double">
        <color indexed="10"/>
      </bottom>
    </border>
    <border>
      <left style="thin"/>
      <right>
        <color indexed="63"/>
      </right>
      <top style="hair"/>
      <bottom style="double">
        <color indexed="1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hair"/>
    </border>
    <border>
      <left style="thin">
        <color indexed="12"/>
      </left>
      <right style="thin">
        <color indexed="12"/>
      </right>
      <top style="medium"/>
      <bottom style="thin">
        <color indexed="12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double">
        <color indexed="10"/>
      </right>
      <top style="thin"/>
      <bottom style="thin"/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43" fontId="3" fillId="2" borderId="1" xfId="18" applyFont="1" applyFill="1" applyBorder="1" applyAlignment="1" applyProtection="1">
      <alignment/>
      <protection hidden="1" locked="0"/>
    </xf>
    <xf numFmtId="0" fontId="3" fillId="2" borderId="1" xfId="0" applyFont="1" applyFill="1" applyBorder="1" applyAlignment="1" applyProtection="1">
      <alignment horizontal="center"/>
      <protection hidden="1" locked="0"/>
    </xf>
    <xf numFmtId="43" fontId="3" fillId="3" borderId="1" xfId="18" applyFont="1" applyFill="1" applyBorder="1" applyAlignment="1" applyProtection="1">
      <alignment/>
      <protection hidden="1"/>
    </xf>
    <xf numFmtId="0" fontId="3" fillId="0" borderId="0" xfId="0" applyFont="1" applyAlignment="1">
      <alignment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 quotePrefix="1">
      <alignment horizontal="center"/>
    </xf>
    <xf numFmtId="43" fontId="3" fillId="4" borderId="2" xfId="18" applyFont="1" applyFill="1" applyBorder="1" applyAlignment="1">
      <alignment/>
    </xf>
    <xf numFmtId="9" fontId="3" fillId="4" borderId="2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43" fontId="3" fillId="4" borderId="3" xfId="18" applyFont="1" applyFill="1" applyBorder="1" applyAlignment="1">
      <alignment/>
    </xf>
    <xf numFmtId="9" fontId="3" fillId="4" borderId="3" xfId="0" applyNumberFormat="1" applyFont="1" applyFill="1" applyBorder="1" applyAlignment="1">
      <alignment/>
    </xf>
    <xf numFmtId="43" fontId="3" fillId="0" borderId="0" xfId="18" applyFont="1" applyAlignment="1">
      <alignment/>
    </xf>
    <xf numFmtId="189" fontId="3" fillId="0" borderId="0" xfId="18" applyNumberFormat="1" applyFont="1" applyAlignment="1">
      <alignment/>
    </xf>
    <xf numFmtId="43" fontId="0" fillId="0" borderId="0" xfId="18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43" fontId="0" fillId="0" borderId="0" xfId="18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" borderId="0" xfId="0" applyFill="1" applyBorder="1" applyAlignment="1">
      <alignment/>
    </xf>
    <xf numFmtId="0" fontId="0" fillId="0" borderId="0" xfId="0" applyAlignment="1">
      <alignment horizontal="center" vertical="center" wrapText="1"/>
    </xf>
    <xf numFmtId="43" fontId="0" fillId="0" borderId="1" xfId="18" applyFont="1" applyFill="1" applyBorder="1" applyAlignment="1" applyProtection="1">
      <alignment/>
      <protection hidden="1"/>
    </xf>
    <xf numFmtId="0" fontId="3" fillId="3" borderId="4" xfId="0" applyFont="1" applyFill="1" applyBorder="1" applyAlignment="1" applyProtection="1">
      <alignment horizontal="left"/>
      <protection hidden="1"/>
    </xf>
    <xf numFmtId="0" fontId="3" fillId="2" borderId="4" xfId="0" applyFont="1" applyFill="1" applyBorder="1" applyAlignment="1" applyProtection="1">
      <alignment horizontal="left"/>
      <protection hidden="1" locked="0"/>
    </xf>
    <xf numFmtId="0" fontId="0" fillId="3" borderId="0" xfId="0" applyFill="1" applyBorder="1" applyAlignment="1">
      <alignment horizontal="center"/>
    </xf>
    <xf numFmtId="0" fontId="3" fillId="2" borderId="5" xfId="0" applyFont="1" applyFill="1" applyBorder="1" applyAlignment="1" applyProtection="1">
      <alignment horizontal="left"/>
      <protection hidden="1" locked="0"/>
    </xf>
    <xf numFmtId="0" fontId="3" fillId="3" borderId="5" xfId="0" applyFont="1" applyFill="1" applyBorder="1" applyAlignment="1" applyProtection="1">
      <alignment horizontal="left"/>
      <protection hidden="1"/>
    </xf>
    <xf numFmtId="0" fontId="3" fillId="3" borderId="6" xfId="0" applyFont="1" applyFill="1" applyBorder="1" applyAlignment="1" applyProtection="1">
      <alignment horizontal="center"/>
      <protection hidden="1"/>
    </xf>
    <xf numFmtId="0" fontId="3" fillId="3" borderId="7" xfId="0" applyFont="1" applyFill="1" applyBorder="1" applyAlignment="1" applyProtection="1">
      <alignment horizontal="left"/>
      <protection hidden="1"/>
    </xf>
    <xf numFmtId="0" fontId="3" fillId="2" borderId="7" xfId="0" applyFont="1" applyFill="1" applyBorder="1" applyAlignment="1" applyProtection="1">
      <alignment horizontal="left"/>
      <protection hidden="1" locked="0"/>
    </xf>
    <xf numFmtId="0" fontId="3" fillId="3" borderId="8" xfId="0" applyFont="1" applyFill="1" applyBorder="1" applyAlignment="1" applyProtection="1">
      <alignment horizontal="center"/>
      <protection hidden="1"/>
    </xf>
    <xf numFmtId="0" fontId="3" fillId="3" borderId="9" xfId="0" applyFont="1" applyFill="1" applyBorder="1" applyAlignment="1" applyProtection="1">
      <alignment horizontal="center"/>
      <protection hidden="1"/>
    </xf>
    <xf numFmtId="0" fontId="3" fillId="3" borderId="10" xfId="0" applyFont="1" applyFill="1" applyBorder="1" applyAlignment="1" applyProtection="1">
      <alignment/>
      <protection hidden="1"/>
    </xf>
    <xf numFmtId="0" fontId="3" fillId="3" borderId="11" xfId="0" applyFont="1" applyFill="1" applyBorder="1" applyAlignment="1" applyProtection="1">
      <alignment/>
      <protection hidden="1"/>
    </xf>
    <xf numFmtId="0" fontId="3" fillId="3" borderId="12" xfId="0" applyFont="1" applyFill="1" applyBorder="1" applyAlignment="1" applyProtection="1">
      <alignment/>
      <protection hidden="1"/>
    </xf>
    <xf numFmtId="0" fontId="3" fillId="3" borderId="13" xfId="0" applyFont="1" applyFill="1" applyBorder="1" applyAlignment="1" applyProtection="1">
      <alignment/>
      <protection hidden="1"/>
    </xf>
    <xf numFmtId="0" fontId="3" fillId="3" borderId="14" xfId="0" applyFont="1" applyFill="1" applyBorder="1" applyAlignment="1" applyProtection="1">
      <alignment/>
      <protection hidden="1"/>
    </xf>
    <xf numFmtId="0" fontId="3" fillId="3" borderId="15" xfId="0" applyFont="1" applyFill="1" applyBorder="1" applyAlignment="1" applyProtection="1">
      <alignment/>
      <protection hidden="1"/>
    </xf>
    <xf numFmtId="43" fontId="3" fillId="3" borderId="1" xfId="18" applyFont="1" applyFill="1" applyBorder="1" applyAlignment="1">
      <alignment/>
    </xf>
    <xf numFmtId="0" fontId="0" fillId="3" borderId="16" xfId="0" applyFill="1" applyBorder="1" applyAlignment="1" applyProtection="1">
      <alignment/>
      <protection hidden="1"/>
    </xf>
    <xf numFmtId="0" fontId="0" fillId="3" borderId="17" xfId="0" applyFill="1" applyBorder="1" applyAlignment="1" applyProtection="1">
      <alignment/>
      <protection hidden="1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hidden="1" locked="0"/>
    </xf>
    <xf numFmtId="0" fontId="0" fillId="3" borderId="1" xfId="0" applyFont="1" applyFill="1" applyBorder="1" applyAlignment="1" applyProtection="1">
      <alignment horizontal="center"/>
      <protection hidden="1"/>
    </xf>
    <xf numFmtId="0" fontId="3" fillId="3" borderId="1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19" xfId="0" applyFont="1" applyFill="1" applyBorder="1" applyAlignment="1" applyProtection="1">
      <alignment horizontal="center"/>
      <protection locked="0"/>
    </xf>
    <xf numFmtId="43" fontId="3" fillId="3" borderId="5" xfId="18" applyFont="1" applyFill="1" applyBorder="1" applyAlignment="1" applyProtection="1">
      <alignment/>
      <protection hidden="1"/>
    </xf>
    <xf numFmtId="43" fontId="3" fillId="3" borderId="4" xfId="18" applyFont="1" applyFill="1" applyBorder="1" applyAlignment="1" applyProtection="1">
      <alignment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/>
      <protection hidden="1"/>
    </xf>
    <xf numFmtId="0" fontId="3" fillId="3" borderId="5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18" xfId="0" applyFill="1" applyBorder="1" applyAlignment="1">
      <alignment/>
    </xf>
    <xf numFmtId="0" fontId="3" fillId="3" borderId="0" xfId="0" applyFont="1" applyFill="1" applyBorder="1" applyAlignment="1" applyProtection="1">
      <alignment/>
      <protection hidden="1"/>
    </xf>
    <xf numFmtId="0" fontId="4" fillId="3" borderId="18" xfId="0" applyFont="1" applyFill="1" applyBorder="1" applyAlignment="1" applyProtection="1">
      <alignment horizontal="left"/>
      <protection hidden="1"/>
    </xf>
    <xf numFmtId="0" fontId="4" fillId="3" borderId="0" xfId="0" applyFont="1" applyFill="1" applyBorder="1" applyAlignment="1" applyProtection="1">
      <alignment horizontal="right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0" fillId="3" borderId="10" xfId="0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0" fontId="3" fillId="3" borderId="10" xfId="0" applyFont="1" applyFill="1" applyBorder="1" applyAlignment="1" applyProtection="1">
      <alignment horizontal="center"/>
      <protection locked="0"/>
    </xf>
    <xf numFmtId="43" fontId="3" fillId="3" borderId="0" xfId="18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0" fillId="3" borderId="20" xfId="0" applyFill="1" applyBorder="1" applyAlignment="1" applyProtection="1">
      <alignment/>
      <protection hidden="1"/>
    </xf>
    <xf numFmtId="0" fontId="0" fillId="3" borderId="21" xfId="0" applyFill="1" applyBorder="1" applyAlignment="1" applyProtection="1">
      <alignment/>
      <protection hidden="1"/>
    </xf>
    <xf numFmtId="0" fontId="3" fillId="3" borderId="22" xfId="0" applyFont="1" applyFill="1" applyBorder="1" applyAlignment="1" applyProtection="1">
      <alignment/>
      <protection hidden="1"/>
    </xf>
    <xf numFmtId="0" fontId="0" fillId="3" borderId="23" xfId="0" applyFill="1" applyBorder="1" applyAlignment="1" applyProtection="1">
      <alignment/>
      <protection hidden="1"/>
    </xf>
    <xf numFmtId="0" fontId="0" fillId="3" borderId="24" xfId="0" applyFill="1" applyBorder="1" applyAlignment="1" applyProtection="1">
      <alignment/>
      <protection hidden="1"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 vertical="center" wrapText="1"/>
    </xf>
    <xf numFmtId="0" fontId="0" fillId="3" borderId="18" xfId="0" applyFill="1" applyBorder="1" applyAlignment="1">
      <alignment horizontal="center"/>
    </xf>
    <xf numFmtId="0" fontId="3" fillId="3" borderId="8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6" xfId="0" applyFont="1" applyFill="1" applyBorder="1" applyAlignment="1" applyProtection="1">
      <alignment horizontal="center"/>
      <protection hidden="1" locked="0"/>
    </xf>
    <xf numFmtId="198" fontId="0" fillId="0" borderId="0" xfId="0" applyNumberFormat="1" applyAlignment="1">
      <alignment/>
    </xf>
    <xf numFmtId="0" fontId="3" fillId="5" borderId="1" xfId="0" applyFont="1" applyFill="1" applyBorder="1" applyAlignment="1" applyProtection="1">
      <alignment horizontal="center"/>
      <protection locked="0"/>
    </xf>
    <xf numFmtId="43" fontId="0" fillId="0" borderId="0" xfId="18" applyAlignment="1">
      <alignment/>
    </xf>
    <xf numFmtId="43" fontId="0" fillId="0" borderId="0" xfId="18" applyFont="1" applyAlignment="1">
      <alignment/>
    </xf>
    <xf numFmtId="0" fontId="0" fillId="6" borderId="0" xfId="0" applyFill="1" applyAlignment="1">
      <alignment/>
    </xf>
    <xf numFmtId="0" fontId="5" fillId="3" borderId="28" xfId="0" applyFont="1" applyFill="1" applyBorder="1" applyAlignment="1" applyProtection="1">
      <alignment horizontal="center"/>
      <protection/>
    </xf>
    <xf numFmtId="0" fontId="5" fillId="3" borderId="29" xfId="0" applyFont="1" applyFill="1" applyBorder="1" applyAlignment="1" applyProtection="1" quotePrefix="1">
      <alignment horizontal="center"/>
      <protection/>
    </xf>
    <xf numFmtId="0" fontId="3" fillId="0" borderId="0" xfId="0" applyFont="1" applyAlignment="1" applyProtection="1">
      <alignment/>
      <protection hidden="1"/>
    </xf>
    <xf numFmtId="43" fontId="0" fillId="3" borderId="0" xfId="0" applyNumberFormat="1" applyFill="1" applyBorder="1" applyAlignment="1">
      <alignment/>
    </xf>
    <xf numFmtId="0" fontId="0" fillId="7" borderId="30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32" xfId="0" applyFill="1" applyBorder="1" applyAlignment="1">
      <alignment/>
    </xf>
    <xf numFmtId="0" fontId="0" fillId="7" borderId="33" xfId="0" applyFill="1" applyBorder="1" applyAlignment="1">
      <alignment/>
    </xf>
    <xf numFmtId="0" fontId="0" fillId="7" borderId="34" xfId="0" applyFill="1" applyBorder="1" applyAlignment="1">
      <alignment/>
    </xf>
    <xf numFmtId="0" fontId="0" fillId="7" borderId="35" xfId="0" applyFill="1" applyBorder="1" applyAlignment="1">
      <alignment/>
    </xf>
    <xf numFmtId="0" fontId="0" fillId="7" borderId="36" xfId="0" applyFill="1" applyBorder="1" applyAlignment="1">
      <alignment/>
    </xf>
    <xf numFmtId="0" fontId="0" fillId="7" borderId="37" xfId="0" applyFill="1" applyBorder="1" applyAlignment="1">
      <alignment/>
    </xf>
    <xf numFmtId="43" fontId="3" fillId="3" borderId="38" xfId="18" applyFont="1" applyFill="1" applyBorder="1" applyAlignment="1" applyProtection="1">
      <alignment/>
      <protection/>
    </xf>
    <xf numFmtId="9" fontId="3" fillId="3" borderId="39" xfId="0" applyNumberFormat="1" applyFont="1" applyFill="1" applyBorder="1" applyAlignment="1" applyProtection="1">
      <alignment horizontal="center"/>
      <protection/>
    </xf>
    <xf numFmtId="9" fontId="3" fillId="3" borderId="39" xfId="18" applyNumberFormat="1" applyFont="1" applyFill="1" applyBorder="1" applyAlignment="1" applyProtection="1">
      <alignment horizontal="center"/>
      <protection/>
    </xf>
    <xf numFmtId="43" fontId="3" fillId="3" borderId="40" xfId="18" applyFont="1" applyFill="1" applyBorder="1" applyAlignment="1" applyProtection="1">
      <alignment/>
      <protection/>
    </xf>
    <xf numFmtId="9" fontId="3" fillId="3" borderId="41" xfId="0" applyNumberFormat="1" applyFont="1" applyFill="1" applyBorder="1" applyAlignment="1" applyProtection="1">
      <alignment horizontal="center"/>
      <protection/>
    </xf>
    <xf numFmtId="43" fontId="0" fillId="6" borderId="0" xfId="18" applyFill="1" applyAlignment="1">
      <alignment/>
    </xf>
    <xf numFmtId="43" fontId="3" fillId="6" borderId="0" xfId="18" applyFont="1" applyFill="1" applyAlignment="1">
      <alignment/>
    </xf>
    <xf numFmtId="43" fontId="0" fillId="6" borderId="0" xfId="18" applyFont="1" applyFill="1" applyAlignment="1">
      <alignment/>
    </xf>
    <xf numFmtId="43" fontId="0" fillId="6" borderId="1" xfId="18" applyFont="1" applyFill="1" applyBorder="1" applyAlignment="1" applyProtection="1">
      <alignment/>
      <protection hidden="1"/>
    </xf>
    <xf numFmtId="43" fontId="3" fillId="4" borderId="0" xfId="18" applyFont="1" applyFill="1" applyAlignment="1">
      <alignment/>
    </xf>
    <xf numFmtId="0" fontId="8" fillId="4" borderId="0" xfId="0" applyFont="1" applyFill="1" applyAlignment="1">
      <alignment/>
    </xf>
    <xf numFmtId="2" fontId="3" fillId="4" borderId="0" xfId="0" applyNumberFormat="1" applyFont="1" applyFill="1" applyAlignment="1">
      <alignment/>
    </xf>
    <xf numFmtId="189" fontId="3" fillId="4" borderId="0" xfId="18" applyNumberFormat="1" applyFont="1" applyFill="1" applyAlignment="1">
      <alignment/>
    </xf>
    <xf numFmtId="43" fontId="0" fillId="4" borderId="0" xfId="18" applyFill="1" applyAlignment="1">
      <alignment/>
    </xf>
    <xf numFmtId="0" fontId="0" fillId="6" borderId="42" xfId="0" applyFill="1" applyBorder="1" applyAlignment="1">
      <alignment/>
    </xf>
    <xf numFmtId="0" fontId="0" fillId="6" borderId="43" xfId="0" applyFill="1" applyBorder="1" applyAlignment="1">
      <alignment/>
    </xf>
    <xf numFmtId="0" fontId="0" fillId="6" borderId="44" xfId="0" applyFill="1" applyBorder="1" applyAlignment="1">
      <alignment/>
    </xf>
    <xf numFmtId="2" fontId="3" fillId="4" borderId="8" xfId="0" applyNumberFormat="1" applyFont="1" applyFill="1" applyBorder="1" applyAlignment="1">
      <alignment/>
    </xf>
    <xf numFmtId="0" fontId="0" fillId="4" borderId="9" xfId="0" applyFill="1" applyBorder="1" applyAlignment="1">
      <alignment/>
    </xf>
    <xf numFmtId="189" fontId="3" fillId="4" borderId="18" xfId="18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43" fontId="3" fillId="4" borderId="18" xfId="18" applyFont="1" applyFill="1" applyBorder="1" applyAlignment="1">
      <alignment/>
    </xf>
    <xf numFmtId="43" fontId="3" fillId="4" borderId="25" xfId="18" applyFont="1" applyFill="1" applyBorder="1" applyAlignment="1">
      <alignment/>
    </xf>
    <xf numFmtId="0" fontId="0" fillId="4" borderId="27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4" xfId="0" applyFill="1" applyBorder="1" applyAlignment="1">
      <alignment/>
    </xf>
    <xf numFmtId="2" fontId="0" fillId="4" borderId="9" xfId="0" applyNumberFormat="1" applyFill="1" applyBorder="1" applyAlignment="1">
      <alignment/>
    </xf>
    <xf numFmtId="2" fontId="3" fillId="4" borderId="18" xfId="0" applyNumberFormat="1" applyFont="1" applyFill="1" applyBorder="1" applyAlignment="1">
      <alignment/>
    </xf>
    <xf numFmtId="2" fontId="0" fillId="4" borderId="10" xfId="0" applyNumberFormat="1" applyFill="1" applyBorder="1" applyAlignment="1">
      <alignment/>
    </xf>
    <xf numFmtId="0" fontId="0" fillId="4" borderId="25" xfId="0" applyFill="1" applyBorder="1" applyAlignment="1">
      <alignment/>
    </xf>
    <xf numFmtId="2" fontId="3" fillId="6" borderId="0" xfId="0" applyNumberFormat="1" applyFont="1" applyFill="1" applyAlignment="1">
      <alignment/>
    </xf>
    <xf numFmtId="189" fontId="3" fillId="6" borderId="0" xfId="18" applyNumberFormat="1" applyFont="1" applyFill="1" applyAlignment="1">
      <alignment/>
    </xf>
    <xf numFmtId="198" fontId="0" fillId="6" borderId="0" xfId="0" applyNumberFormat="1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17" fillId="3" borderId="0" xfId="0" applyFont="1" applyFill="1" applyBorder="1" applyAlignment="1">
      <alignment/>
    </xf>
    <xf numFmtId="43" fontId="0" fillId="6" borderId="45" xfId="18" applyFont="1" applyFill="1" applyBorder="1" applyAlignment="1">
      <alignment/>
    </xf>
    <xf numFmtId="0" fontId="0" fillId="6" borderId="46" xfId="0" applyFill="1" applyBorder="1" applyAlignment="1">
      <alignment/>
    </xf>
    <xf numFmtId="43" fontId="0" fillId="6" borderId="47" xfId="18" applyFont="1" applyFill="1" applyBorder="1" applyAlignment="1">
      <alignment/>
    </xf>
    <xf numFmtId="0" fontId="0" fillId="6" borderId="0" xfId="0" applyFill="1" applyBorder="1" applyAlignment="1">
      <alignment/>
    </xf>
    <xf numFmtId="43" fontId="0" fillId="6" borderId="48" xfId="18" applyFont="1" applyFill="1" applyBorder="1" applyAlignment="1">
      <alignment/>
    </xf>
    <xf numFmtId="0" fontId="0" fillId="6" borderId="16" xfId="0" applyFill="1" applyBorder="1" applyAlignment="1">
      <alignment/>
    </xf>
    <xf numFmtId="43" fontId="3" fillId="3" borderId="1" xfId="18" applyFont="1" applyFill="1" applyBorder="1" applyAlignment="1" applyProtection="1">
      <alignment/>
      <protection/>
    </xf>
    <xf numFmtId="43" fontId="3" fillId="3" borderId="49" xfId="18" applyFont="1" applyFill="1" applyBorder="1" applyAlignment="1" applyProtection="1">
      <alignment/>
      <protection/>
    </xf>
    <xf numFmtId="43" fontId="0" fillId="3" borderId="0" xfId="18" applyFill="1" applyBorder="1" applyAlignment="1">
      <alignment/>
    </xf>
    <xf numFmtId="43" fontId="0" fillId="3" borderId="1" xfId="18" applyFill="1" applyBorder="1" applyAlignment="1">
      <alignment/>
    </xf>
    <xf numFmtId="43" fontId="0" fillId="3" borderId="6" xfId="18" applyFill="1" applyBorder="1" applyAlignment="1">
      <alignment/>
    </xf>
    <xf numFmtId="43" fontId="0" fillId="3" borderId="16" xfId="18" applyFill="1" applyBorder="1" applyAlignment="1">
      <alignment/>
    </xf>
    <xf numFmtId="0" fontId="3" fillId="7" borderId="1" xfId="0" applyFont="1" applyFill="1" applyBorder="1" applyAlignment="1" applyProtection="1">
      <alignment horizontal="center"/>
      <protection hidden="1"/>
    </xf>
    <xf numFmtId="0" fontId="3" fillId="3" borderId="18" xfId="0" applyFont="1" applyFill="1" applyBorder="1" applyAlignment="1">
      <alignment horizontal="right"/>
    </xf>
    <xf numFmtId="43" fontId="0" fillId="3" borderId="10" xfId="18" applyFill="1" applyBorder="1" applyAlignment="1">
      <alignment/>
    </xf>
    <xf numFmtId="0" fontId="0" fillId="3" borderId="26" xfId="0" applyFill="1" applyBorder="1" applyAlignment="1" applyProtection="1">
      <alignment/>
      <protection hidden="1"/>
    </xf>
    <xf numFmtId="0" fontId="6" fillId="3" borderId="4" xfId="0" applyFont="1" applyFill="1" applyBorder="1" applyAlignment="1" applyProtection="1">
      <alignment horizontal="center"/>
      <protection hidden="1"/>
    </xf>
    <xf numFmtId="0" fontId="3" fillId="3" borderId="7" xfId="0" applyFont="1" applyFill="1" applyBorder="1" applyAlignment="1" applyProtection="1">
      <alignment horizontal="center"/>
      <protection hidden="1"/>
    </xf>
    <xf numFmtId="0" fontId="3" fillId="3" borderId="18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43" fontId="0" fillId="10" borderId="0" xfId="18" applyFill="1" applyAlignment="1">
      <alignment/>
    </xf>
    <xf numFmtId="43" fontId="3" fillId="3" borderId="50" xfId="18" applyFont="1" applyFill="1" applyBorder="1" applyAlignment="1" applyProtection="1">
      <alignment horizontal="center"/>
      <protection hidden="1"/>
    </xf>
    <xf numFmtId="0" fontId="3" fillId="3" borderId="5" xfId="0" applyFont="1" applyFill="1" applyBorder="1" applyAlignment="1" applyProtection="1">
      <alignment horizontal="center"/>
      <protection hidden="1"/>
    </xf>
    <xf numFmtId="0" fontId="3" fillId="3" borderId="4" xfId="0" applyFont="1" applyFill="1" applyBorder="1" applyAlignment="1" applyProtection="1">
      <alignment horizontal="center"/>
      <protection hidden="1"/>
    </xf>
    <xf numFmtId="0" fontId="3" fillId="3" borderId="8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center"/>
      <protection hidden="1"/>
    </xf>
    <xf numFmtId="0" fontId="3" fillId="3" borderId="9" xfId="0" applyFont="1" applyFill="1" applyBorder="1" applyAlignment="1" applyProtection="1">
      <alignment horizontal="center"/>
      <protection hidden="1"/>
    </xf>
    <xf numFmtId="0" fontId="6" fillId="3" borderId="5" xfId="0" applyFont="1" applyFill="1" applyBorder="1" applyAlignment="1" applyProtection="1">
      <alignment horizontal="center"/>
      <protection hidden="1"/>
    </xf>
    <xf numFmtId="0" fontId="6" fillId="3" borderId="7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hidden="1" locked="0"/>
    </xf>
    <xf numFmtId="0" fontId="8" fillId="0" borderId="0" xfId="0" applyFont="1" applyAlignment="1">
      <alignment horizontal="center" vertical="center" wrapText="1"/>
    </xf>
    <xf numFmtId="0" fontId="3" fillId="3" borderId="18" xfId="0" applyFont="1" applyFill="1" applyBorder="1" applyAlignment="1" applyProtection="1">
      <alignment horizontal="left"/>
      <protection hidden="1"/>
    </xf>
    <xf numFmtId="0" fontId="3" fillId="3" borderId="0" xfId="0" applyFont="1" applyFill="1" applyBorder="1" applyAlignment="1" applyProtection="1">
      <alignment horizontal="left"/>
      <protection hidden="1"/>
    </xf>
    <xf numFmtId="0" fontId="3" fillId="3" borderId="10" xfId="0" applyFont="1" applyFill="1" applyBorder="1" applyAlignment="1" applyProtection="1">
      <alignment horizontal="left"/>
      <protection hidden="1"/>
    </xf>
    <xf numFmtId="43" fontId="3" fillId="3" borderId="5" xfId="18" applyFont="1" applyFill="1" applyBorder="1" applyAlignment="1" applyProtection="1">
      <alignment horizontal="center"/>
      <protection hidden="1"/>
    </xf>
    <xf numFmtId="43" fontId="3" fillId="3" borderId="4" xfId="18" applyFont="1" applyFill="1" applyBorder="1" applyAlignment="1" applyProtection="1">
      <alignment horizontal="center"/>
      <protection hidden="1"/>
    </xf>
    <xf numFmtId="43" fontId="5" fillId="3" borderId="22" xfId="0" applyNumberFormat="1" applyFont="1" applyFill="1" applyBorder="1" applyAlignment="1" applyProtection="1">
      <alignment horizontal="center"/>
      <protection hidden="1"/>
    </xf>
    <xf numFmtId="43" fontId="5" fillId="3" borderId="51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3" fillId="2" borderId="8" xfId="0" applyFont="1" applyFill="1" applyBorder="1" applyAlignment="1" applyProtection="1">
      <alignment horizontal="center"/>
      <protection hidden="1" locked="0"/>
    </xf>
    <xf numFmtId="0" fontId="3" fillId="2" borderId="6" xfId="0" applyFont="1" applyFill="1" applyBorder="1" applyAlignment="1" applyProtection="1">
      <alignment horizontal="center"/>
      <protection hidden="1"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 wrapText="1"/>
    </xf>
    <xf numFmtId="0" fontId="5" fillId="4" borderId="5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8" applyFont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43" fontId="3" fillId="2" borderId="49" xfId="18" applyFont="1" applyFill="1" applyBorder="1" applyAlignment="1" applyProtection="1">
      <alignment/>
      <protection locked="0"/>
    </xf>
    <xf numFmtId="0" fontId="3" fillId="11" borderId="53" xfId="0" applyFont="1" applyFill="1" applyBorder="1" applyAlignment="1" applyProtection="1">
      <alignment horizontal="center"/>
      <protection hidden="1"/>
    </xf>
    <xf numFmtId="9" fontId="3" fillId="11" borderId="53" xfId="2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left"/>
      <protection hidden="1" locked="0"/>
    </xf>
    <xf numFmtId="0" fontId="3" fillId="2" borderId="7" xfId="0" applyFont="1" applyFill="1" applyBorder="1" applyAlignment="1" applyProtection="1">
      <alignment horizontal="left"/>
      <protection hidden="1" locked="0"/>
    </xf>
    <xf numFmtId="0" fontId="3" fillId="2" borderId="4" xfId="0" applyFont="1" applyFill="1" applyBorder="1" applyAlignment="1" applyProtection="1">
      <alignment horizontal="left"/>
      <protection hidden="1" locked="0"/>
    </xf>
    <xf numFmtId="43" fontId="3" fillId="2" borderId="5" xfId="18" applyFont="1" applyFill="1" applyBorder="1" applyAlignment="1" applyProtection="1">
      <alignment horizontal="center"/>
      <protection hidden="1" locked="0"/>
    </xf>
    <xf numFmtId="43" fontId="3" fillId="2" borderId="7" xfId="18" applyFont="1" applyFill="1" applyBorder="1" applyAlignment="1" applyProtection="1">
      <alignment horizontal="center"/>
      <protection hidden="1" locked="0"/>
    </xf>
    <xf numFmtId="43" fontId="3" fillId="2" borderId="4" xfId="18" applyFont="1" applyFill="1" applyBorder="1" applyAlignment="1" applyProtection="1">
      <alignment horizontal="center"/>
      <protection hidden="1" locked="0"/>
    </xf>
    <xf numFmtId="0" fontId="3" fillId="3" borderId="25" xfId="0" applyFont="1" applyFill="1" applyBorder="1" applyAlignment="1" applyProtection="1">
      <alignment horizontal="left"/>
      <protection hidden="1"/>
    </xf>
    <xf numFmtId="0" fontId="3" fillId="3" borderId="26" xfId="0" applyFont="1" applyFill="1" applyBorder="1" applyAlignment="1" applyProtection="1">
      <alignment horizontal="left"/>
      <protection hidden="1"/>
    </xf>
    <xf numFmtId="0" fontId="3" fillId="3" borderId="27" xfId="0" applyFont="1" applyFill="1" applyBorder="1" applyAlignment="1" applyProtection="1">
      <alignment horizontal="left"/>
      <protection hidden="1"/>
    </xf>
    <xf numFmtId="0" fontId="5" fillId="3" borderId="8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2" borderId="18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7" fillId="2" borderId="5" xfId="0" applyFont="1" applyFill="1" applyBorder="1" applyAlignment="1" applyProtection="1">
      <alignment horizontal="center"/>
      <protection hidden="1" locked="0"/>
    </xf>
    <xf numFmtId="0" fontId="7" fillId="2" borderId="7" xfId="0" applyFont="1" applyFill="1" applyBorder="1" applyAlignment="1" applyProtection="1">
      <alignment horizontal="center"/>
      <protection hidden="1" locked="0"/>
    </xf>
    <xf numFmtId="0" fontId="7" fillId="2" borderId="4" xfId="0" applyFont="1" applyFill="1" applyBorder="1" applyAlignment="1" applyProtection="1">
      <alignment horizontal="center"/>
      <protection hidden="1" locked="0"/>
    </xf>
    <xf numFmtId="0" fontId="3" fillId="3" borderId="26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 locked="0"/>
    </xf>
    <xf numFmtId="0" fontId="3" fillId="2" borderId="7" xfId="0" applyFont="1" applyFill="1" applyBorder="1" applyAlignment="1" applyProtection="1">
      <alignment horizontal="center"/>
      <protection hidden="1" locked="0"/>
    </xf>
    <xf numFmtId="0" fontId="3" fillId="2" borderId="4" xfId="0" applyFont="1" applyFill="1" applyBorder="1" applyAlignment="1" applyProtection="1">
      <alignment horizontal="center"/>
      <protection hidden="1"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43" fontId="3" fillId="3" borderId="7" xfId="18" applyFont="1" applyFill="1" applyBorder="1" applyAlignment="1" applyProtection="1">
      <alignment horizontal="center"/>
      <protection hidden="1"/>
    </xf>
    <xf numFmtId="0" fontId="3" fillId="3" borderId="22" xfId="0" applyFont="1" applyFill="1" applyBorder="1" applyAlignment="1" applyProtection="1">
      <alignment horizontal="right"/>
      <protection hidden="1"/>
    </xf>
    <xf numFmtId="0" fontId="3" fillId="3" borderId="11" xfId="0" applyFont="1" applyFill="1" applyBorder="1" applyAlignment="1" applyProtection="1">
      <alignment horizontal="right"/>
      <protection hidden="1"/>
    </xf>
    <xf numFmtId="0" fontId="3" fillId="3" borderId="51" xfId="0" applyFont="1" applyFill="1" applyBorder="1" applyAlignment="1" applyProtection="1">
      <alignment horizontal="right"/>
      <protection hidden="1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1" fontId="3" fillId="3" borderId="27" xfId="0" applyNumberFormat="1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right"/>
      <protection hidden="1"/>
    </xf>
    <xf numFmtId="0" fontId="3" fillId="3" borderId="0" xfId="0" applyFont="1" applyFill="1" applyBorder="1" applyAlignment="1" applyProtection="1">
      <alignment horizontal="right"/>
      <protection hidden="1"/>
    </xf>
    <xf numFmtId="0" fontId="3" fillId="3" borderId="10" xfId="0" applyFont="1" applyFill="1" applyBorder="1" applyAlignment="1" applyProtection="1">
      <alignment horizontal="right"/>
      <protection hidden="1"/>
    </xf>
    <xf numFmtId="43" fontId="3" fillId="3" borderId="54" xfId="18" applyFont="1" applyFill="1" applyBorder="1" applyAlignment="1" applyProtection="1">
      <alignment horizontal="center"/>
      <protection hidden="1"/>
    </xf>
    <xf numFmtId="0" fontId="3" fillId="3" borderId="55" xfId="0" applyFont="1" applyFill="1" applyBorder="1" applyAlignment="1" applyProtection="1">
      <alignment horizontal="right"/>
      <protection hidden="1"/>
    </xf>
    <xf numFmtId="0" fontId="3" fillId="3" borderId="46" xfId="0" applyFont="1" applyFill="1" applyBorder="1" applyAlignment="1" applyProtection="1">
      <alignment horizontal="right"/>
      <protection hidden="1"/>
    </xf>
    <xf numFmtId="0" fontId="3" fillId="3" borderId="8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5" fillId="3" borderId="56" xfId="0" applyFont="1" applyFill="1" applyBorder="1" applyAlignment="1">
      <alignment horizontal="center"/>
    </xf>
    <xf numFmtId="9" fontId="3" fillId="2" borderId="19" xfId="0" applyNumberFormat="1" applyFont="1" applyFill="1" applyBorder="1" applyAlignment="1" applyProtection="1">
      <alignment horizontal="center" vertical="center"/>
      <protection hidden="1" locked="0"/>
    </xf>
    <xf numFmtId="9" fontId="3" fillId="2" borderId="57" xfId="0" applyNumberFormat="1" applyFont="1" applyFill="1" applyBorder="1" applyAlignment="1" applyProtection="1">
      <alignment horizontal="center" vertical="center"/>
      <protection hidden="1" locked="0"/>
    </xf>
    <xf numFmtId="9" fontId="3" fillId="2" borderId="49" xfId="0" applyNumberFormat="1" applyFont="1" applyFill="1" applyBorder="1" applyAlignment="1" applyProtection="1">
      <alignment horizontal="center" vertical="center"/>
      <protection hidden="1" locked="0"/>
    </xf>
    <xf numFmtId="0" fontId="10" fillId="7" borderId="33" xfId="0" applyFont="1" applyFill="1" applyBorder="1" applyAlignment="1" applyProtection="1">
      <alignment horizontal="center" vertical="center" wrapText="1"/>
      <protection hidden="1"/>
    </xf>
    <xf numFmtId="0" fontId="10" fillId="7" borderId="34" xfId="0" applyFont="1" applyFill="1" applyBorder="1" applyAlignment="1" applyProtection="1">
      <alignment horizontal="center" vertical="center" wrapText="1"/>
      <protection hidden="1"/>
    </xf>
    <xf numFmtId="0" fontId="10" fillId="7" borderId="35" xfId="0" applyFont="1" applyFill="1" applyBorder="1" applyAlignment="1" applyProtection="1">
      <alignment horizontal="center" vertical="center" wrapText="1"/>
      <protection hidden="1"/>
    </xf>
    <xf numFmtId="0" fontId="10" fillId="7" borderId="30" xfId="0" applyFont="1" applyFill="1" applyBorder="1" applyAlignment="1" applyProtection="1">
      <alignment horizontal="center" vertical="center" wrapText="1"/>
      <protection hidden="1"/>
    </xf>
    <xf numFmtId="0" fontId="10" fillId="7" borderId="0" xfId="0" applyFont="1" applyFill="1" applyBorder="1" applyAlignment="1" applyProtection="1">
      <alignment horizontal="center" vertical="center" wrapText="1"/>
      <protection hidden="1"/>
    </xf>
    <xf numFmtId="0" fontId="10" fillId="7" borderId="36" xfId="0" applyFont="1" applyFill="1" applyBorder="1" applyAlignment="1" applyProtection="1">
      <alignment horizontal="center" vertical="center" wrapText="1"/>
      <protection hidden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 applyProtection="1">
      <alignment horizontal="center"/>
      <protection hidden="1"/>
    </xf>
    <xf numFmtId="0" fontId="10" fillId="7" borderId="0" xfId="0" applyFont="1" applyFill="1" applyBorder="1" applyAlignment="1" applyProtection="1">
      <alignment horizontal="center"/>
      <protection hidden="1"/>
    </xf>
    <xf numFmtId="0" fontId="10" fillId="7" borderId="36" xfId="0" applyFont="1" applyFill="1" applyBorder="1" applyAlignment="1" applyProtection="1">
      <alignment horizontal="center"/>
      <protection hidden="1"/>
    </xf>
    <xf numFmtId="0" fontId="10" fillId="7" borderId="31" xfId="0" applyFont="1" applyFill="1" applyBorder="1" applyAlignment="1" applyProtection="1">
      <alignment horizontal="center"/>
      <protection hidden="1"/>
    </xf>
    <xf numFmtId="0" fontId="10" fillId="7" borderId="32" xfId="0" applyFont="1" applyFill="1" applyBorder="1" applyAlignment="1" applyProtection="1">
      <alignment horizontal="center"/>
      <protection hidden="1"/>
    </xf>
    <xf numFmtId="0" fontId="10" fillId="7" borderId="37" xfId="0" applyFont="1" applyFill="1" applyBorder="1" applyAlignment="1" applyProtection="1">
      <alignment horizontal="center"/>
      <protection hidden="1"/>
    </xf>
    <xf numFmtId="0" fontId="0" fillId="7" borderId="3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4" fillId="3" borderId="18" xfId="0" applyFont="1" applyFill="1" applyBorder="1" applyAlignment="1" applyProtection="1">
      <alignment horizontal="right"/>
      <protection hidden="1"/>
    </xf>
    <xf numFmtId="0" fontId="4" fillId="3" borderId="10" xfId="0" applyFont="1" applyFill="1" applyBorder="1" applyAlignment="1" applyProtection="1">
      <alignment horizontal="right"/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3" fillId="3" borderId="7" xfId="0" applyFont="1" applyFill="1" applyBorder="1" applyAlignment="1" applyProtection="1">
      <alignment horizontal="left"/>
      <protection hidden="1"/>
    </xf>
    <xf numFmtId="0" fontId="3" fillId="3" borderId="4" xfId="0" applyFont="1" applyFill="1" applyBorder="1" applyAlignment="1" applyProtection="1">
      <alignment horizontal="left"/>
      <protection hidden="1"/>
    </xf>
    <xf numFmtId="0" fontId="3" fillId="2" borderId="26" xfId="0" applyFont="1" applyFill="1" applyBorder="1" applyAlignment="1" applyProtection="1">
      <alignment horizontal="center"/>
      <protection hidden="1" locked="0"/>
    </xf>
    <xf numFmtId="0" fontId="3" fillId="2" borderId="27" xfId="0" applyFont="1" applyFill="1" applyBorder="1" applyAlignment="1" applyProtection="1">
      <alignment horizontal="center"/>
      <protection hidden="1" locked="0"/>
    </xf>
    <xf numFmtId="14" fontId="3" fillId="2" borderId="25" xfId="0" applyNumberFormat="1" applyFont="1" applyFill="1" applyBorder="1" applyAlignment="1" applyProtection="1">
      <alignment horizontal="center"/>
      <protection locked="0"/>
    </xf>
    <xf numFmtId="14" fontId="3" fillId="2" borderId="26" xfId="0" applyNumberFormat="1" applyFont="1" applyFill="1" applyBorder="1" applyAlignment="1" applyProtection="1">
      <alignment horizontal="center"/>
      <protection locked="0"/>
    </xf>
    <xf numFmtId="14" fontId="3" fillId="2" borderId="27" xfId="0" applyNumberFormat="1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43" fontId="3" fillId="3" borderId="5" xfId="18" applyFont="1" applyFill="1" applyBorder="1" applyAlignment="1">
      <alignment horizontal="center"/>
    </xf>
    <xf numFmtId="43" fontId="3" fillId="3" borderId="4" xfId="18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8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3" fillId="3" borderId="10" xfId="0" applyFont="1" applyFill="1" applyBorder="1" applyAlignment="1" applyProtection="1">
      <alignment horizontal="center"/>
      <protection hidden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58" xfId="0" applyFont="1" applyFill="1" applyBorder="1" applyAlignment="1" applyProtection="1">
      <alignment horizontal="right"/>
      <protection hidden="1"/>
    </xf>
    <xf numFmtId="0" fontId="3" fillId="3" borderId="59" xfId="0" applyFont="1" applyFill="1" applyBorder="1" applyAlignment="1" applyProtection="1">
      <alignment horizontal="right"/>
      <protection hidden="1"/>
    </xf>
    <xf numFmtId="0" fontId="17" fillId="3" borderId="0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14" fontId="3" fillId="2" borderId="5" xfId="0" applyNumberFormat="1" applyFont="1" applyFill="1" applyBorder="1" applyAlignment="1" applyProtection="1">
      <alignment horizontal="center"/>
      <protection locked="0"/>
    </xf>
    <xf numFmtId="14" fontId="3" fillId="2" borderId="4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hidden="1"/>
    </xf>
    <xf numFmtId="0" fontId="11" fillId="2" borderId="60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65" xfId="0" applyFont="1" applyFill="1" applyBorder="1" applyAlignment="1">
      <alignment horizontal="center" vertical="center" wrapText="1"/>
    </xf>
    <xf numFmtId="0" fontId="11" fillId="2" borderId="66" xfId="0" applyFont="1" applyFill="1" applyBorder="1" applyAlignment="1">
      <alignment horizontal="center" vertical="center" wrapText="1"/>
    </xf>
    <xf numFmtId="0" fontId="11" fillId="2" borderId="6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3" borderId="18" xfId="0" applyFont="1" applyFill="1" applyBorder="1" applyAlignment="1">
      <alignment horizontal="center"/>
    </xf>
    <xf numFmtId="0" fontId="7" fillId="2" borderId="9" xfId="0" applyFont="1" applyFill="1" applyBorder="1" applyAlignment="1" applyProtection="1">
      <alignment horizontal="center"/>
      <protection hidden="1" locked="0"/>
    </xf>
    <xf numFmtId="43" fontId="3" fillId="10" borderId="50" xfId="18" applyFont="1" applyFill="1" applyBorder="1" applyAlignment="1" applyProtection="1">
      <alignment horizontal="center"/>
      <protection hidden="1"/>
    </xf>
    <xf numFmtId="43" fontId="3" fillId="6" borderId="0" xfId="18" applyFont="1" applyFill="1" applyAlignment="1">
      <alignment horizontal="center" vertical="center"/>
    </xf>
    <xf numFmtId="43" fontId="3" fillId="4" borderId="0" xfId="18" applyFont="1" applyFill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 applyProtection="1">
      <alignment horizontal="right"/>
      <protection hidden="1"/>
    </xf>
    <xf numFmtId="43" fontId="5" fillId="2" borderId="12" xfId="0" applyNumberFormat="1" applyFont="1" applyFill="1" applyBorder="1" applyAlignment="1" applyProtection="1">
      <alignment horizontal="center"/>
      <protection hidden="1" locked="0"/>
    </xf>
    <xf numFmtId="43" fontId="5" fillId="2" borderId="68" xfId="0" applyNumberFormat="1" applyFont="1" applyFill="1" applyBorder="1" applyAlignment="1" applyProtection="1">
      <alignment horizontal="center"/>
      <protection hidden="1" locked="0"/>
    </xf>
    <xf numFmtId="43" fontId="5" fillId="3" borderId="11" xfId="0" applyNumberFormat="1" applyFont="1" applyFill="1" applyBorder="1" applyAlignment="1" applyProtection="1">
      <alignment horizontal="center"/>
      <protection hidden="1"/>
    </xf>
    <xf numFmtId="10" fontId="3" fillId="3" borderId="69" xfId="20" applyNumberFormat="1" applyFont="1" applyFill="1" applyBorder="1" applyAlignment="1" applyProtection="1">
      <alignment horizontal="center" vertical="center" wrapText="1"/>
      <protection/>
    </xf>
    <xf numFmtId="10" fontId="3" fillId="3" borderId="70" xfId="20" applyNumberFormat="1" applyFont="1" applyFill="1" applyBorder="1" applyAlignment="1" applyProtection="1">
      <alignment horizontal="center" vertical="center" wrapText="1"/>
      <protection/>
    </xf>
    <xf numFmtId="10" fontId="3" fillId="3" borderId="1" xfId="20" applyNumberFormat="1" applyFont="1" applyFill="1" applyBorder="1" applyAlignment="1" applyProtection="1">
      <alignment horizontal="center" vertical="center" wrapText="1"/>
      <protection/>
    </xf>
    <xf numFmtId="10" fontId="3" fillId="3" borderId="71" xfId="20" applyNumberFormat="1" applyFont="1" applyFill="1" applyBorder="1" applyAlignment="1" applyProtection="1">
      <alignment horizontal="center" vertical="center" wrapText="1"/>
      <protection/>
    </xf>
    <xf numFmtId="10" fontId="3" fillId="3" borderId="72" xfId="20" applyNumberFormat="1" applyFont="1" applyFill="1" applyBorder="1" applyAlignment="1" applyProtection="1">
      <alignment horizontal="center" vertical="center" wrapText="1"/>
      <protection/>
    </xf>
    <xf numFmtId="10" fontId="3" fillId="3" borderId="73" xfId="20" applyNumberFormat="1" applyFont="1" applyFill="1" applyBorder="1" applyAlignment="1" applyProtection="1">
      <alignment horizontal="center" vertical="center" wrapText="1"/>
      <protection/>
    </xf>
    <xf numFmtId="0" fontId="16" fillId="3" borderId="33" xfId="0" applyFont="1" applyFill="1" applyBorder="1" applyAlignment="1" applyProtection="1">
      <alignment horizontal="center" vertical="center" wrapText="1"/>
      <protection locked="0"/>
    </xf>
    <xf numFmtId="0" fontId="16" fillId="3" borderId="35" xfId="0" applyFont="1" applyFill="1" applyBorder="1" applyAlignment="1" applyProtection="1">
      <alignment horizontal="center" vertical="center" wrapText="1"/>
      <protection locked="0"/>
    </xf>
    <xf numFmtId="0" fontId="16" fillId="3" borderId="31" xfId="0" applyFont="1" applyFill="1" applyBorder="1" applyAlignment="1" applyProtection="1">
      <alignment horizontal="center" vertical="center" wrapText="1"/>
      <protection locked="0"/>
    </xf>
    <xf numFmtId="0" fontId="16" fillId="3" borderId="37" xfId="0" applyFont="1" applyFill="1" applyBorder="1" applyAlignment="1" applyProtection="1">
      <alignment horizontal="center" vertical="center" wrapText="1"/>
      <protection locked="0"/>
    </xf>
    <xf numFmtId="0" fontId="3" fillId="3" borderId="6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2" xfId="0" applyFont="1" applyFill="1" applyBorder="1" applyAlignment="1">
      <alignment horizontal="center" vertical="center" wrapText="1"/>
    </xf>
    <xf numFmtId="0" fontId="14" fillId="3" borderId="74" xfId="0" applyFont="1" applyFill="1" applyBorder="1" applyAlignment="1" applyProtection="1">
      <alignment horizontal="center"/>
      <protection/>
    </xf>
    <xf numFmtId="0" fontId="14" fillId="3" borderId="75" xfId="0" applyFont="1" applyFill="1" applyBorder="1" applyAlignment="1" applyProtection="1">
      <alignment horizontal="center"/>
      <protection/>
    </xf>
    <xf numFmtId="0" fontId="14" fillId="3" borderId="76" xfId="0" applyFont="1" applyFill="1" applyBorder="1" applyAlignment="1">
      <alignment horizontal="center"/>
    </xf>
    <xf numFmtId="0" fontId="14" fillId="3" borderId="77" xfId="0" applyFont="1" applyFill="1" applyBorder="1" applyAlignment="1">
      <alignment horizontal="center"/>
    </xf>
    <xf numFmtId="0" fontId="14" fillId="3" borderId="78" xfId="0" applyFont="1" applyFill="1" applyBorder="1" applyAlignment="1">
      <alignment horizontal="center"/>
    </xf>
    <xf numFmtId="0" fontId="3" fillId="7" borderId="5" xfId="0" applyFont="1" applyFill="1" applyBorder="1" applyAlignment="1" applyProtection="1">
      <alignment horizontal="center"/>
      <protection hidden="1"/>
    </xf>
    <xf numFmtId="0" fontId="3" fillId="7" borderId="4" xfId="0" applyFont="1" applyFill="1" applyBorder="1" applyAlignment="1" applyProtection="1">
      <alignment horizontal="center"/>
      <protection hidden="1"/>
    </xf>
    <xf numFmtId="0" fontId="7" fillId="3" borderId="5" xfId="0" applyFont="1" applyFill="1" applyBorder="1" applyAlignment="1" applyProtection="1">
      <alignment horizontal="center"/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Alignment="1" applyProtection="1">
      <alignment horizontal="center"/>
      <protection hidden="1"/>
    </xf>
    <xf numFmtId="0" fontId="5" fillId="3" borderId="18" xfId="0" applyFont="1" applyFill="1" applyBorder="1" applyAlignment="1" applyProtection="1">
      <alignment horizontal="center"/>
      <protection/>
    </xf>
    <xf numFmtId="0" fontId="5" fillId="3" borderId="0" xfId="0" applyFont="1" applyFill="1" applyBorder="1" applyAlignment="1" applyProtection="1">
      <alignment horizontal="center"/>
      <protection/>
    </xf>
    <xf numFmtId="0" fontId="5" fillId="3" borderId="10" xfId="0" applyFont="1" applyFill="1" applyBorder="1" applyAlignment="1" applyProtection="1">
      <alignment horizontal="center"/>
      <protection/>
    </xf>
    <xf numFmtId="14" fontId="3" fillId="3" borderId="25" xfId="0" applyNumberFormat="1" applyFont="1" applyFill="1" applyBorder="1" applyAlignment="1" applyProtection="1">
      <alignment horizontal="center"/>
      <protection/>
    </xf>
    <xf numFmtId="14" fontId="3" fillId="3" borderId="26" xfId="0" applyNumberFormat="1" applyFont="1" applyFill="1" applyBorder="1" applyAlignment="1" applyProtection="1">
      <alignment horizontal="center"/>
      <protection/>
    </xf>
    <xf numFmtId="14" fontId="3" fillId="3" borderId="27" xfId="0" applyNumberFormat="1" applyFont="1" applyFill="1" applyBorder="1" applyAlignment="1" applyProtection="1">
      <alignment horizontal="center"/>
      <protection/>
    </xf>
    <xf numFmtId="0" fontId="3" fillId="3" borderId="5" xfId="0" applyFont="1" applyFill="1" applyBorder="1" applyAlignment="1" applyProtection="1">
      <alignment horizontal="center"/>
      <protection/>
    </xf>
    <xf numFmtId="0" fontId="3" fillId="3" borderId="7" xfId="0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 applyProtection="1">
      <alignment horizontal="center"/>
      <protection/>
    </xf>
    <xf numFmtId="0" fontId="3" fillId="3" borderId="27" xfId="0" applyFont="1" applyFill="1" applyBorder="1" applyAlignment="1" applyProtection="1">
      <alignment horizontal="center"/>
      <protection hidden="1"/>
    </xf>
    <xf numFmtId="43" fontId="3" fillId="3" borderId="79" xfId="18" applyFont="1" applyFill="1" applyBorder="1" applyAlignment="1" applyProtection="1">
      <alignment horizontal="center"/>
      <protection hidden="1"/>
    </xf>
    <xf numFmtId="0" fontId="6" fillId="7" borderId="5" xfId="0" applyFont="1" applyFill="1" applyBorder="1" applyAlignment="1" applyProtection="1">
      <alignment horizontal="center"/>
      <protection hidden="1"/>
    </xf>
    <xf numFmtId="0" fontId="6" fillId="7" borderId="7" xfId="0" applyFont="1" applyFill="1" applyBorder="1" applyAlignment="1" applyProtection="1">
      <alignment horizontal="center"/>
      <protection hidden="1"/>
    </xf>
    <xf numFmtId="0" fontId="6" fillId="7" borderId="4" xfId="0" applyFont="1" applyFill="1" applyBorder="1" applyAlignment="1" applyProtection="1">
      <alignment horizontal="center"/>
      <protection hidden="1"/>
    </xf>
    <xf numFmtId="0" fontId="0" fillId="3" borderId="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3" fillId="3" borderId="58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3" fillId="3" borderId="51" xfId="0" applyFont="1" applyFill="1" applyBorder="1" applyAlignment="1">
      <alignment horizontal="right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50" xfId="0" applyFont="1" applyFill="1" applyBorder="1" applyAlignment="1">
      <alignment horizontal="left" vertical="center" wrapText="1"/>
    </xf>
    <xf numFmtId="43" fontId="0" fillId="10" borderId="0" xfId="18" applyFill="1" applyAlignment="1">
      <alignment/>
    </xf>
    <xf numFmtId="0" fontId="5" fillId="4" borderId="80" xfId="0" applyFont="1" applyFill="1" applyBorder="1" applyAlignment="1">
      <alignment horizontal="center"/>
    </xf>
    <xf numFmtId="0" fontId="5" fillId="4" borderId="81" xfId="0" applyFont="1" applyFill="1" applyBorder="1" applyAlignment="1">
      <alignment horizontal="center"/>
    </xf>
    <xf numFmtId="43" fontId="3" fillId="4" borderId="81" xfId="18" applyFont="1" applyFill="1" applyBorder="1" applyAlignment="1">
      <alignment/>
    </xf>
    <xf numFmtId="43" fontId="3" fillId="4" borderId="82" xfId="18" applyFont="1" applyFill="1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" vertical="center" wrapText="1"/>
    </xf>
    <xf numFmtId="43" fontId="0" fillId="0" borderId="83" xfId="18" applyFont="1" applyFill="1" applyBorder="1" applyAlignment="1" applyProtection="1">
      <alignment/>
      <protection hidden="1"/>
    </xf>
    <xf numFmtId="43" fontId="0" fillId="0" borderId="43" xfId="18" applyBorder="1" applyAlignment="1">
      <alignment/>
    </xf>
    <xf numFmtId="0" fontId="9" fillId="0" borderId="43" xfId="0" applyFont="1" applyBorder="1" applyAlignment="1">
      <alignment horizontal="center" vertical="center" wrapText="1"/>
    </xf>
    <xf numFmtId="43" fontId="0" fillId="10" borderId="43" xfId="18" applyFill="1" applyBorder="1" applyAlignment="1">
      <alignment/>
    </xf>
    <xf numFmtId="43" fontId="3" fillId="3" borderId="5" xfId="18" applyFont="1" applyFill="1" applyBorder="1" applyAlignment="1" applyProtection="1">
      <alignment/>
      <protection hidden="1"/>
    </xf>
    <xf numFmtId="0" fontId="3" fillId="3" borderId="84" xfId="0" applyFont="1" applyFill="1" applyBorder="1" applyAlignment="1">
      <alignment horizontal="center"/>
    </xf>
    <xf numFmtId="0" fontId="0" fillId="3" borderId="85" xfId="0" applyFill="1" applyBorder="1" applyAlignment="1">
      <alignment horizontal="center"/>
    </xf>
    <xf numFmtId="0" fontId="3" fillId="3" borderId="84" xfId="0" applyFont="1" applyFill="1" applyBorder="1" applyAlignment="1">
      <alignment horizontal="left" vertical="center" wrapText="1"/>
    </xf>
    <xf numFmtId="0" fontId="3" fillId="3" borderId="86" xfId="0" applyFont="1" applyFill="1" applyBorder="1" applyAlignment="1">
      <alignment horizontal="left" vertical="center" wrapText="1"/>
    </xf>
    <xf numFmtId="0" fontId="0" fillId="3" borderId="45" xfId="0" applyFill="1" applyBorder="1" applyAlignment="1">
      <alignment horizontal="center"/>
    </xf>
    <xf numFmtId="0" fontId="0" fillId="3" borderId="47" xfId="0" applyFill="1" applyBorder="1" applyAlignment="1">
      <alignment/>
    </xf>
    <xf numFmtId="0" fontId="0" fillId="3" borderId="48" xfId="0" applyFill="1" applyBorder="1" applyAlignment="1">
      <alignment/>
    </xf>
    <xf numFmtId="0" fontId="0" fillId="3" borderId="16" xfId="0" applyFill="1" applyBorder="1" applyAlignment="1">
      <alignment/>
    </xf>
    <xf numFmtId="0" fontId="0" fillId="0" borderId="16" xfId="0" applyBorder="1" applyAlignment="1">
      <alignment/>
    </xf>
    <xf numFmtId="43" fontId="0" fillId="0" borderId="44" xfId="18" applyBorder="1" applyAlignment="1">
      <alignment/>
    </xf>
    <xf numFmtId="0" fontId="3" fillId="2" borderId="83" xfId="0" applyFont="1" applyFill="1" applyBorder="1" applyAlignment="1" applyProtection="1">
      <alignment horizontal="center"/>
      <protection locked="0"/>
    </xf>
    <xf numFmtId="0" fontId="0" fillId="3" borderId="83" xfId="0" applyFill="1" applyBorder="1" applyAlignment="1">
      <alignment/>
    </xf>
    <xf numFmtId="0" fontId="0" fillId="2" borderId="83" xfId="0" applyFill="1" applyBorder="1" applyAlignment="1" applyProtection="1">
      <alignment horizontal="center"/>
      <protection locked="0"/>
    </xf>
    <xf numFmtId="0" fontId="0" fillId="2" borderId="87" xfId="0" applyFill="1" applyBorder="1" applyAlignment="1" applyProtection="1">
      <alignment horizontal="center"/>
      <protection locked="0"/>
    </xf>
    <xf numFmtId="0" fontId="0" fillId="3" borderId="42" xfId="0" applyFill="1" applyBorder="1" applyAlignment="1">
      <alignment/>
    </xf>
    <xf numFmtId="43" fontId="3" fillId="3" borderId="88" xfId="18" applyFont="1" applyFill="1" applyBorder="1" applyAlignment="1" applyProtection="1">
      <alignment/>
      <protection hidden="1"/>
    </xf>
    <xf numFmtId="0" fontId="0" fillId="3" borderId="43" xfId="0" applyFill="1" applyBorder="1" applyAlignment="1">
      <alignment/>
    </xf>
    <xf numFmtId="0" fontId="0" fillId="3" borderId="44" xfId="0" applyFill="1" applyBorder="1" applyAlignment="1">
      <alignment/>
    </xf>
    <xf numFmtId="43" fontId="3" fillId="3" borderId="5" xfId="18" applyFont="1" applyFill="1" applyBorder="1" applyAlignment="1" applyProtection="1">
      <alignment horizontal="center"/>
      <protection hidden="1" locked="0"/>
    </xf>
    <xf numFmtId="43" fontId="3" fillId="3" borderId="7" xfId="18" applyFont="1" applyFill="1" applyBorder="1" applyAlignment="1" applyProtection="1">
      <alignment horizontal="center"/>
      <protection hidden="1" locked="0"/>
    </xf>
    <xf numFmtId="43" fontId="3" fillId="3" borderId="4" xfId="18" applyFont="1" applyFill="1" applyBorder="1" applyAlignment="1" applyProtection="1">
      <alignment horizontal="center"/>
      <protection hidden="1" locked="0"/>
    </xf>
    <xf numFmtId="0" fontId="3" fillId="3" borderId="89" xfId="0" applyFont="1" applyFill="1" applyBorder="1" applyAlignment="1" applyProtection="1">
      <alignment horizontal="center"/>
      <protection/>
    </xf>
    <xf numFmtId="0" fontId="3" fillId="3" borderId="90" xfId="0" applyFont="1" applyFill="1" applyBorder="1" applyAlignment="1" applyProtection="1">
      <alignment horizontal="center"/>
      <protection/>
    </xf>
    <xf numFmtId="0" fontId="3" fillId="3" borderId="91" xfId="0" applyFont="1" applyFill="1" applyBorder="1" applyAlignment="1" applyProtection="1">
      <alignment horizontal="center"/>
      <protection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6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E8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DE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8FFFF"/>
      <rgbColor rgb="00660066"/>
      <rgbColor rgb="00FF8080"/>
      <rgbColor rgb="000066CC"/>
      <rgbColor rgb="00CCCCFF"/>
      <rgbColor rgb="00000080"/>
      <rgbColor rgb="00FF00FF"/>
      <rgbColor rgb="00FFFFDE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66675</xdr:colOff>
      <xdr:row>5</xdr:row>
      <xdr:rowOff>114300</xdr:rowOff>
    </xdr:from>
    <xdr:to>
      <xdr:col>34</xdr:col>
      <xdr:colOff>142875</xdr:colOff>
      <xdr:row>17</xdr:row>
      <xdr:rowOff>95250</xdr:rowOff>
    </xdr:to>
    <xdr:sp>
      <xdr:nvSpPr>
        <xdr:cNvPr id="1" name="AutoShape 355"/>
        <xdr:cNvSpPr>
          <a:spLocks/>
        </xdr:cNvSpPr>
      </xdr:nvSpPr>
      <xdr:spPr>
        <a:xfrm>
          <a:off x="7077075" y="1095375"/>
          <a:ext cx="2552700" cy="1933575"/>
        </a:xfrm>
        <a:prstGeom prst="cloudCallout">
          <a:avLst>
            <a:gd name="adj1" fmla="val -52611"/>
            <a:gd name="adj2" fmla="val 45074"/>
          </a:avLst>
        </a:prstGeom>
        <a:solidFill>
          <a:srgbClr val="FFFFDE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Versione aggiornata alle direttive della Circolare Agenzia delle Entrate n. 15 del 16/03/2007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38100</xdr:colOff>
      <xdr:row>6</xdr:row>
      <xdr:rowOff>9525</xdr:rowOff>
    </xdr:from>
    <xdr:to>
      <xdr:col>50</xdr:col>
      <xdr:colOff>209550</xdr:colOff>
      <xdr:row>17</xdr:row>
      <xdr:rowOff>152400</xdr:rowOff>
    </xdr:to>
    <xdr:sp>
      <xdr:nvSpPr>
        <xdr:cNvPr id="1" name="AutoShape 14"/>
        <xdr:cNvSpPr>
          <a:spLocks/>
        </xdr:cNvSpPr>
      </xdr:nvSpPr>
      <xdr:spPr>
        <a:xfrm>
          <a:off x="7172325" y="1152525"/>
          <a:ext cx="2552700" cy="1924050"/>
        </a:xfrm>
        <a:prstGeom prst="cloudCallout">
          <a:avLst>
            <a:gd name="adj1" fmla="val -56342"/>
            <a:gd name="adj2" fmla="val 41583"/>
          </a:avLst>
        </a:prstGeom>
        <a:solidFill>
          <a:srgbClr val="FFFFDE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Versione aggiornata alle direttive della Circolare Agenzia delle Entrate n. 15 del 16/03/2007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38100</xdr:colOff>
      <xdr:row>6</xdr:row>
      <xdr:rowOff>9525</xdr:rowOff>
    </xdr:from>
    <xdr:to>
      <xdr:col>50</xdr:col>
      <xdr:colOff>209550</xdr:colOff>
      <xdr:row>17</xdr:row>
      <xdr:rowOff>152400</xdr:rowOff>
    </xdr:to>
    <xdr:sp>
      <xdr:nvSpPr>
        <xdr:cNvPr id="1" name="AutoShape 14"/>
        <xdr:cNvSpPr>
          <a:spLocks/>
        </xdr:cNvSpPr>
      </xdr:nvSpPr>
      <xdr:spPr>
        <a:xfrm>
          <a:off x="7172325" y="1152525"/>
          <a:ext cx="2552700" cy="1924050"/>
        </a:xfrm>
        <a:prstGeom prst="cloudCallout">
          <a:avLst>
            <a:gd name="adj1" fmla="val -56342"/>
            <a:gd name="adj2" fmla="val 41583"/>
          </a:avLst>
        </a:prstGeom>
        <a:solidFill>
          <a:srgbClr val="FFFFDE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Versione aggiornata alle direttive della Circolare Agenzia delle Entrate n. 15 del 16/03/2007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38100</xdr:colOff>
      <xdr:row>6</xdr:row>
      <xdr:rowOff>9525</xdr:rowOff>
    </xdr:from>
    <xdr:to>
      <xdr:col>50</xdr:col>
      <xdr:colOff>209550</xdr:colOff>
      <xdr:row>17</xdr:row>
      <xdr:rowOff>152400</xdr:rowOff>
    </xdr:to>
    <xdr:sp>
      <xdr:nvSpPr>
        <xdr:cNvPr id="1" name="AutoShape 14"/>
        <xdr:cNvSpPr>
          <a:spLocks/>
        </xdr:cNvSpPr>
      </xdr:nvSpPr>
      <xdr:spPr>
        <a:xfrm>
          <a:off x="7172325" y="1152525"/>
          <a:ext cx="2552700" cy="1924050"/>
        </a:xfrm>
        <a:prstGeom prst="cloudCallout">
          <a:avLst>
            <a:gd name="adj1" fmla="val -56342"/>
            <a:gd name="adj2" fmla="val 41583"/>
          </a:avLst>
        </a:prstGeom>
        <a:solidFill>
          <a:srgbClr val="FFFFDE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Versione aggiornata alle direttive della Circolare Agenzia delle Entrate n. 15 del 16/03/2007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38100</xdr:colOff>
      <xdr:row>6</xdr:row>
      <xdr:rowOff>9525</xdr:rowOff>
    </xdr:from>
    <xdr:to>
      <xdr:col>50</xdr:col>
      <xdr:colOff>209550</xdr:colOff>
      <xdr:row>17</xdr:row>
      <xdr:rowOff>152400</xdr:rowOff>
    </xdr:to>
    <xdr:sp>
      <xdr:nvSpPr>
        <xdr:cNvPr id="1" name="AutoShape 14"/>
        <xdr:cNvSpPr>
          <a:spLocks/>
        </xdr:cNvSpPr>
      </xdr:nvSpPr>
      <xdr:spPr>
        <a:xfrm>
          <a:off x="7172325" y="1152525"/>
          <a:ext cx="2552700" cy="1924050"/>
        </a:xfrm>
        <a:prstGeom prst="cloudCallout">
          <a:avLst>
            <a:gd name="adj1" fmla="val -56342"/>
            <a:gd name="adj2" fmla="val 41583"/>
          </a:avLst>
        </a:prstGeom>
        <a:solidFill>
          <a:srgbClr val="FFFFDE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Versione aggiornata alle direttive della Circolare Agenzia delle Entrate n. 15 del 16/03/2007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38100</xdr:colOff>
      <xdr:row>6</xdr:row>
      <xdr:rowOff>9525</xdr:rowOff>
    </xdr:from>
    <xdr:to>
      <xdr:col>50</xdr:col>
      <xdr:colOff>209550</xdr:colOff>
      <xdr:row>17</xdr:row>
      <xdr:rowOff>152400</xdr:rowOff>
    </xdr:to>
    <xdr:sp>
      <xdr:nvSpPr>
        <xdr:cNvPr id="1" name="AutoShape 14"/>
        <xdr:cNvSpPr>
          <a:spLocks/>
        </xdr:cNvSpPr>
      </xdr:nvSpPr>
      <xdr:spPr>
        <a:xfrm>
          <a:off x="7172325" y="1152525"/>
          <a:ext cx="2552700" cy="1924050"/>
        </a:xfrm>
        <a:prstGeom prst="cloudCallout">
          <a:avLst>
            <a:gd name="adj1" fmla="val -56342"/>
            <a:gd name="adj2" fmla="val 41583"/>
          </a:avLst>
        </a:prstGeom>
        <a:solidFill>
          <a:srgbClr val="FFFFDE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Versione aggiornata alle direttive della Circolare Agenzia delle Entrate n. 15 del 16/03/2007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66675</xdr:colOff>
      <xdr:row>5</xdr:row>
      <xdr:rowOff>114300</xdr:rowOff>
    </xdr:from>
    <xdr:to>
      <xdr:col>34</xdr:col>
      <xdr:colOff>142875</xdr:colOff>
      <xdr:row>17</xdr:row>
      <xdr:rowOff>95250</xdr:rowOff>
    </xdr:to>
    <xdr:sp>
      <xdr:nvSpPr>
        <xdr:cNvPr id="1" name="AutoShape 10"/>
        <xdr:cNvSpPr>
          <a:spLocks/>
        </xdr:cNvSpPr>
      </xdr:nvSpPr>
      <xdr:spPr>
        <a:xfrm>
          <a:off x="7239000" y="1095375"/>
          <a:ext cx="2552700" cy="1971675"/>
        </a:xfrm>
        <a:prstGeom prst="cloudCallout">
          <a:avLst>
            <a:gd name="adj1" fmla="val -52611"/>
            <a:gd name="adj2" fmla="val 45074"/>
          </a:avLst>
        </a:prstGeom>
        <a:solidFill>
          <a:srgbClr val="FFFFDE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Versione aggiornata alle direttive della Circolare Agenzia delle Entrate n. 15 del 16/03/2007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38100</xdr:colOff>
      <xdr:row>6</xdr:row>
      <xdr:rowOff>9525</xdr:rowOff>
    </xdr:from>
    <xdr:to>
      <xdr:col>50</xdr:col>
      <xdr:colOff>209550</xdr:colOff>
      <xdr:row>17</xdr:row>
      <xdr:rowOff>152400</xdr:rowOff>
    </xdr:to>
    <xdr:sp>
      <xdr:nvSpPr>
        <xdr:cNvPr id="1" name="AutoShape 218"/>
        <xdr:cNvSpPr>
          <a:spLocks/>
        </xdr:cNvSpPr>
      </xdr:nvSpPr>
      <xdr:spPr>
        <a:xfrm>
          <a:off x="7172325" y="1152525"/>
          <a:ext cx="2552700" cy="1924050"/>
        </a:xfrm>
        <a:prstGeom prst="cloudCallout">
          <a:avLst>
            <a:gd name="adj1" fmla="val -56342"/>
            <a:gd name="adj2" fmla="val 41583"/>
          </a:avLst>
        </a:prstGeom>
        <a:solidFill>
          <a:srgbClr val="FFFFDE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Versione aggiornata alle direttive della Circolare Agenzia delle Entrate n. 15 del 16/03/2007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38100</xdr:colOff>
      <xdr:row>6</xdr:row>
      <xdr:rowOff>9525</xdr:rowOff>
    </xdr:from>
    <xdr:to>
      <xdr:col>50</xdr:col>
      <xdr:colOff>209550</xdr:colOff>
      <xdr:row>17</xdr:row>
      <xdr:rowOff>152400</xdr:rowOff>
    </xdr:to>
    <xdr:sp>
      <xdr:nvSpPr>
        <xdr:cNvPr id="1" name="AutoShape 14"/>
        <xdr:cNvSpPr>
          <a:spLocks/>
        </xdr:cNvSpPr>
      </xdr:nvSpPr>
      <xdr:spPr>
        <a:xfrm>
          <a:off x="7172325" y="1152525"/>
          <a:ext cx="2552700" cy="1924050"/>
        </a:xfrm>
        <a:prstGeom prst="cloudCallout">
          <a:avLst>
            <a:gd name="adj1" fmla="val -56342"/>
            <a:gd name="adj2" fmla="val 41583"/>
          </a:avLst>
        </a:prstGeom>
        <a:solidFill>
          <a:srgbClr val="FFFFDE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Versione aggiornata alle direttive della Circolare Agenzia delle Entrate n. 15 del 16/03/2007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38100</xdr:colOff>
      <xdr:row>6</xdr:row>
      <xdr:rowOff>9525</xdr:rowOff>
    </xdr:from>
    <xdr:to>
      <xdr:col>50</xdr:col>
      <xdr:colOff>209550</xdr:colOff>
      <xdr:row>17</xdr:row>
      <xdr:rowOff>152400</xdr:rowOff>
    </xdr:to>
    <xdr:sp>
      <xdr:nvSpPr>
        <xdr:cNvPr id="1" name="AutoShape 14"/>
        <xdr:cNvSpPr>
          <a:spLocks/>
        </xdr:cNvSpPr>
      </xdr:nvSpPr>
      <xdr:spPr>
        <a:xfrm>
          <a:off x="7172325" y="1152525"/>
          <a:ext cx="2552700" cy="1924050"/>
        </a:xfrm>
        <a:prstGeom prst="cloudCallout">
          <a:avLst>
            <a:gd name="adj1" fmla="val -56342"/>
            <a:gd name="adj2" fmla="val 41583"/>
          </a:avLst>
        </a:prstGeom>
        <a:solidFill>
          <a:srgbClr val="FFFFDE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Versione aggiornata alle direttive della Circolare Agenzia delle Entrate n. 15 del 16/03/2007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38100</xdr:colOff>
      <xdr:row>6</xdr:row>
      <xdr:rowOff>9525</xdr:rowOff>
    </xdr:from>
    <xdr:to>
      <xdr:col>50</xdr:col>
      <xdr:colOff>209550</xdr:colOff>
      <xdr:row>17</xdr:row>
      <xdr:rowOff>152400</xdr:rowOff>
    </xdr:to>
    <xdr:sp>
      <xdr:nvSpPr>
        <xdr:cNvPr id="1" name="AutoShape 14"/>
        <xdr:cNvSpPr>
          <a:spLocks/>
        </xdr:cNvSpPr>
      </xdr:nvSpPr>
      <xdr:spPr>
        <a:xfrm>
          <a:off x="7172325" y="1152525"/>
          <a:ext cx="2552700" cy="1924050"/>
        </a:xfrm>
        <a:prstGeom prst="cloudCallout">
          <a:avLst>
            <a:gd name="adj1" fmla="val -56342"/>
            <a:gd name="adj2" fmla="val 41583"/>
          </a:avLst>
        </a:prstGeom>
        <a:solidFill>
          <a:srgbClr val="FFFFDE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Versione aggiornata alle direttive della Circolare Agenzia delle Entrate n. 15 del 16/03/2007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38100</xdr:colOff>
      <xdr:row>6</xdr:row>
      <xdr:rowOff>9525</xdr:rowOff>
    </xdr:from>
    <xdr:to>
      <xdr:col>50</xdr:col>
      <xdr:colOff>209550</xdr:colOff>
      <xdr:row>17</xdr:row>
      <xdr:rowOff>152400</xdr:rowOff>
    </xdr:to>
    <xdr:sp>
      <xdr:nvSpPr>
        <xdr:cNvPr id="1" name="AutoShape 14"/>
        <xdr:cNvSpPr>
          <a:spLocks/>
        </xdr:cNvSpPr>
      </xdr:nvSpPr>
      <xdr:spPr>
        <a:xfrm>
          <a:off x="7172325" y="1152525"/>
          <a:ext cx="2552700" cy="1924050"/>
        </a:xfrm>
        <a:prstGeom prst="cloudCallout">
          <a:avLst>
            <a:gd name="adj1" fmla="val -56342"/>
            <a:gd name="adj2" fmla="val 41583"/>
          </a:avLst>
        </a:prstGeom>
        <a:solidFill>
          <a:srgbClr val="FFFFDE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Versione aggiornata alle direttive della Circolare Agenzia delle Entrate n. 15 del 16/03/2007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38100</xdr:colOff>
      <xdr:row>6</xdr:row>
      <xdr:rowOff>9525</xdr:rowOff>
    </xdr:from>
    <xdr:to>
      <xdr:col>50</xdr:col>
      <xdr:colOff>209550</xdr:colOff>
      <xdr:row>17</xdr:row>
      <xdr:rowOff>152400</xdr:rowOff>
    </xdr:to>
    <xdr:sp>
      <xdr:nvSpPr>
        <xdr:cNvPr id="1" name="AutoShape 14"/>
        <xdr:cNvSpPr>
          <a:spLocks/>
        </xdr:cNvSpPr>
      </xdr:nvSpPr>
      <xdr:spPr>
        <a:xfrm>
          <a:off x="7172325" y="1152525"/>
          <a:ext cx="2552700" cy="1924050"/>
        </a:xfrm>
        <a:prstGeom prst="cloudCallout">
          <a:avLst>
            <a:gd name="adj1" fmla="val -56342"/>
            <a:gd name="adj2" fmla="val 41583"/>
          </a:avLst>
        </a:prstGeom>
        <a:solidFill>
          <a:srgbClr val="FFFFDE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Versione aggiornata alle direttive della Circolare Agenzia delle Entrate n. 15 del 16/03/2007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38100</xdr:colOff>
      <xdr:row>6</xdr:row>
      <xdr:rowOff>9525</xdr:rowOff>
    </xdr:from>
    <xdr:to>
      <xdr:col>50</xdr:col>
      <xdr:colOff>209550</xdr:colOff>
      <xdr:row>17</xdr:row>
      <xdr:rowOff>152400</xdr:rowOff>
    </xdr:to>
    <xdr:sp>
      <xdr:nvSpPr>
        <xdr:cNvPr id="1" name="AutoShape 14"/>
        <xdr:cNvSpPr>
          <a:spLocks/>
        </xdr:cNvSpPr>
      </xdr:nvSpPr>
      <xdr:spPr>
        <a:xfrm>
          <a:off x="7172325" y="1152525"/>
          <a:ext cx="2552700" cy="1924050"/>
        </a:xfrm>
        <a:prstGeom prst="cloudCallout">
          <a:avLst>
            <a:gd name="adj1" fmla="val -56342"/>
            <a:gd name="adj2" fmla="val 41583"/>
          </a:avLst>
        </a:prstGeom>
        <a:solidFill>
          <a:srgbClr val="FFFFDE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Versione aggiornata alle direttive della Circolare Agenzia delle Entrate n. 15 del 16/03/2007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38100</xdr:colOff>
      <xdr:row>6</xdr:row>
      <xdr:rowOff>9525</xdr:rowOff>
    </xdr:from>
    <xdr:to>
      <xdr:col>50</xdr:col>
      <xdr:colOff>209550</xdr:colOff>
      <xdr:row>17</xdr:row>
      <xdr:rowOff>152400</xdr:rowOff>
    </xdr:to>
    <xdr:sp>
      <xdr:nvSpPr>
        <xdr:cNvPr id="1" name="AutoShape 14"/>
        <xdr:cNvSpPr>
          <a:spLocks/>
        </xdr:cNvSpPr>
      </xdr:nvSpPr>
      <xdr:spPr>
        <a:xfrm>
          <a:off x="7172325" y="1152525"/>
          <a:ext cx="2552700" cy="1924050"/>
        </a:xfrm>
        <a:prstGeom prst="cloudCallout">
          <a:avLst>
            <a:gd name="adj1" fmla="val -56342"/>
            <a:gd name="adj2" fmla="val 41583"/>
          </a:avLst>
        </a:prstGeom>
        <a:solidFill>
          <a:srgbClr val="FFFFDE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Versione aggiornata alle direttive della Circolare Agenzia delle Entrate n. 15 del 16/03/2007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mi%20in%20excel\Contabilit&#224;%202003\GENNAIO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ina Iniziale"/>
      <sheetName val="Mod 69"/>
      <sheetName val="Percentuale"/>
      <sheetName val="Trasferte Ufficiali"/>
      <sheetName val="Trasferte soprann"/>
      <sheetName val="Trasferte Assistenti"/>
      <sheetName val="Spese Ufficio"/>
      <sheetName val="Verbali Riparto Trasferte"/>
      <sheetName val="Stato Mensile"/>
      <sheetName val="Diritti Operatori"/>
      <sheetName val="Diritti Computabili"/>
      <sheetName val="Indennità"/>
      <sheetName val="Stampa"/>
      <sheetName val="Statistica"/>
      <sheetName val="Irpef"/>
      <sheetName val="Gratifica annuale"/>
      <sheetName val="Statini stipendio"/>
      <sheetName val="Modulo 10%"/>
      <sheetName val="Modulo Diritti Operatori"/>
      <sheetName val="Macro1"/>
      <sheetName val="Macro2"/>
      <sheetName val="Macro3"/>
    </sheetNames>
    <sheetDataSet>
      <sheetData sheetId="19">
        <row r="1">
          <cell r="A1" t="str">
            <v>Macro1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R81"/>
  <sheetViews>
    <sheetView tabSelected="1" workbookViewId="0" topLeftCell="A1">
      <selection activeCell="F57" sqref="F57"/>
    </sheetView>
  </sheetViews>
  <sheetFormatPr defaultColWidth="9.33203125" defaultRowHeight="12.75"/>
  <cols>
    <col min="1" max="1" width="15.5" style="0" customWidth="1"/>
    <col min="2" max="10" width="4.83203125" style="0" customWidth="1"/>
    <col min="11" max="11" width="11.66015625" style="0" bestFit="1" customWidth="1"/>
    <col min="12" max="13" width="11.83203125" style="0" customWidth="1"/>
    <col min="14" max="14" width="4.83203125" style="0" customWidth="1"/>
    <col min="15" max="15" width="12.83203125" style="0" customWidth="1"/>
    <col min="16" max="16" width="9.16015625" style="0" customWidth="1"/>
    <col min="17" max="17" width="5.16015625" style="0" hidden="1" customWidth="1"/>
    <col min="18" max="18" width="10.5" style="0" hidden="1" customWidth="1"/>
    <col min="19" max="19" width="15.16015625" style="0" hidden="1" customWidth="1"/>
    <col min="20" max="20" width="16.83203125" style="0" hidden="1" customWidth="1"/>
    <col min="21" max="21" width="6.66015625" style="0" hidden="1" customWidth="1"/>
    <col min="22" max="22" width="12.83203125" style="0" hidden="1" customWidth="1"/>
    <col min="23" max="23" width="11.5" style="0" hidden="1" customWidth="1"/>
    <col min="24" max="29" width="0" style="0" hidden="1" customWidth="1"/>
    <col min="30" max="30" width="1.5" style="0" customWidth="1"/>
    <col min="31" max="31" width="15.66015625" style="0" bestFit="1" customWidth="1"/>
    <col min="33" max="33" width="13.66015625" style="0" customWidth="1"/>
    <col min="34" max="34" width="4.66015625" style="0" customWidth="1"/>
    <col min="35" max="35" width="14.66015625" style="0" bestFit="1" customWidth="1"/>
  </cols>
  <sheetData>
    <row r="1" spans="1:44" ht="16.5" thickTop="1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3"/>
      <c r="S1" s="185" t="s">
        <v>29</v>
      </c>
      <c r="T1" s="185"/>
      <c r="U1" s="185"/>
      <c r="V1" s="185"/>
      <c r="W1" t="s">
        <v>68</v>
      </c>
      <c r="AD1" s="77"/>
      <c r="AE1" s="247" t="s">
        <v>97</v>
      </c>
      <c r="AF1" s="248"/>
      <c r="AG1" s="249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</row>
    <row r="2" spans="1:44" ht="15.75">
      <c r="A2" s="204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  <c r="S2" s="5" t="s">
        <v>30</v>
      </c>
      <c r="T2" s="5" t="s">
        <v>31</v>
      </c>
      <c r="U2" s="6" t="s">
        <v>18</v>
      </c>
      <c r="V2" s="5" t="s">
        <v>37</v>
      </c>
      <c r="AD2" s="77"/>
      <c r="AE2" s="250"/>
      <c r="AF2" s="251"/>
      <c r="AG2" s="252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</row>
    <row r="3" spans="1:44" ht="15.75">
      <c r="A3" s="207" t="s">
        <v>85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9"/>
      <c r="S3" s="7">
        <v>1</v>
      </c>
      <c r="T3" s="7">
        <f>+Aliquote!C6</f>
        <v>15000</v>
      </c>
      <c r="U3" s="8">
        <f>+Aliquote!D6</f>
        <v>0.23</v>
      </c>
      <c r="V3" s="9"/>
      <c r="AD3" s="77"/>
      <c r="AE3" s="268"/>
      <c r="AF3" s="269"/>
      <c r="AG3" s="270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</row>
    <row r="4" spans="1:44" ht="12.75" customHeight="1">
      <c r="A4" s="150" t="s">
        <v>138</v>
      </c>
      <c r="B4" s="214"/>
      <c r="C4" s="215"/>
      <c r="D4" s="215"/>
      <c r="E4" s="215"/>
      <c r="F4" s="215"/>
      <c r="G4" s="216"/>
      <c r="H4" s="58"/>
      <c r="I4" s="58"/>
      <c r="J4" s="213" t="s">
        <v>2</v>
      </c>
      <c r="K4" s="213"/>
      <c r="L4" s="2">
        <v>2007</v>
      </c>
      <c r="M4" s="20"/>
      <c r="N4" s="58"/>
      <c r="O4" s="58"/>
      <c r="P4" s="33"/>
      <c r="S4" s="7">
        <f>+T3+0.01</f>
        <v>15000.01</v>
      </c>
      <c r="T4" s="7">
        <f>+Aliquote!C7</f>
        <v>28000</v>
      </c>
      <c r="U4" s="8">
        <f>+Aliquote!D7</f>
        <v>0.27</v>
      </c>
      <c r="V4" s="7">
        <f>ROUND(S4*U3,2)</f>
        <v>3450</v>
      </c>
      <c r="AD4" s="77"/>
      <c r="AE4" s="262" t="s">
        <v>81</v>
      </c>
      <c r="AF4" s="263"/>
      <c r="AG4" s="264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</row>
    <row r="5" spans="1:44" ht="16.5" thickBot="1">
      <c r="A5" s="59" t="s">
        <v>3</v>
      </c>
      <c r="B5" s="60"/>
      <c r="C5" s="2" t="s">
        <v>4</v>
      </c>
      <c r="D5" s="210"/>
      <c r="E5" s="211"/>
      <c r="F5" s="211"/>
      <c r="G5" s="211"/>
      <c r="H5" s="211"/>
      <c r="I5" s="211"/>
      <c r="J5" s="211"/>
      <c r="K5" s="211"/>
      <c r="L5" s="212"/>
      <c r="M5" s="61" t="s">
        <v>5</v>
      </c>
      <c r="N5" s="181"/>
      <c r="O5" s="182"/>
      <c r="P5" s="170"/>
      <c r="R5" s="21"/>
      <c r="S5" s="7">
        <f>+T4+0.01</f>
        <v>28000.01</v>
      </c>
      <c r="T5" s="7">
        <f>+Aliquote!C8</f>
        <v>55000</v>
      </c>
      <c r="U5" s="8">
        <f>+Aliquote!D8</f>
        <v>0.38</v>
      </c>
      <c r="V5" s="7">
        <f>ROUND((S5-S4)*U4,2)+V4</f>
        <v>6960</v>
      </c>
      <c r="AD5" s="77"/>
      <c r="AE5" s="265" t="s">
        <v>82</v>
      </c>
      <c r="AF5" s="266"/>
      <c r="AG5" s="26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</row>
    <row r="6" spans="1:44" ht="12.75" customHeight="1" thickTop="1">
      <c r="A6" s="271" t="s">
        <v>6</v>
      </c>
      <c r="B6" s="272"/>
      <c r="C6" s="214"/>
      <c r="D6" s="276"/>
      <c r="E6" s="276"/>
      <c r="F6" s="276"/>
      <c r="G6" s="277"/>
      <c r="H6" s="60" t="s">
        <v>7</v>
      </c>
      <c r="I6" s="278"/>
      <c r="J6" s="279"/>
      <c r="K6" s="280"/>
      <c r="L6" s="48" t="s">
        <v>90</v>
      </c>
      <c r="M6" s="217" t="s">
        <v>94</v>
      </c>
      <c r="N6" s="218"/>
      <c r="O6" s="218"/>
      <c r="P6" s="183"/>
      <c r="R6" s="21"/>
      <c r="S6" s="7">
        <f>+T5+0.01</f>
        <v>55000.01</v>
      </c>
      <c r="T6" s="7">
        <f>+Aliquote!C9</f>
        <v>75000</v>
      </c>
      <c r="U6" s="8">
        <f>+Aliquote!D9</f>
        <v>0.41</v>
      </c>
      <c r="V6" s="7">
        <f>ROUND((S6-S5)*U5,2)+V5</f>
        <v>17220</v>
      </c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</row>
    <row r="7" spans="1:44" ht="12.75" customHeight="1">
      <c r="A7" s="239" t="s">
        <v>8</v>
      </c>
      <c r="B7" s="240"/>
      <c r="C7" s="240"/>
      <c r="D7" s="240"/>
      <c r="E7" s="240"/>
      <c r="F7" s="240"/>
      <c r="G7" s="240"/>
      <c r="H7" s="158" t="s">
        <v>9</v>
      </c>
      <c r="I7" s="158"/>
      <c r="J7" s="158"/>
      <c r="K7" s="158"/>
      <c r="L7" s="158"/>
      <c r="M7" s="20"/>
      <c r="N7" s="20"/>
      <c r="O7" s="20"/>
      <c r="P7" s="62"/>
      <c r="R7" s="21"/>
      <c r="S7" s="7">
        <f>+T6+0.01</f>
        <v>75000.01</v>
      </c>
      <c r="T7" s="7">
        <v>1000000</v>
      </c>
      <c r="U7" s="8">
        <f>+Aliquote!D10</f>
        <v>0.43</v>
      </c>
      <c r="V7" s="7">
        <f>ROUND((S7-S6)*U6,2)+V6</f>
        <v>25420</v>
      </c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</row>
    <row r="8" spans="1:44" ht="12.75">
      <c r="A8" s="27" t="s">
        <v>78</v>
      </c>
      <c r="B8" s="29"/>
      <c r="C8" s="29"/>
      <c r="D8" s="23"/>
      <c r="E8" s="195"/>
      <c r="F8" s="196"/>
      <c r="G8" s="197"/>
      <c r="H8" s="273" t="s">
        <v>10</v>
      </c>
      <c r="I8" s="274"/>
      <c r="J8" s="274"/>
      <c r="K8" s="275"/>
      <c r="L8" s="1"/>
      <c r="M8" s="20"/>
      <c r="N8" s="20"/>
      <c r="O8" s="20"/>
      <c r="P8" s="62"/>
      <c r="R8" s="21"/>
      <c r="S8" s="10">
        <v>1000000.01</v>
      </c>
      <c r="T8" s="10">
        <v>2000000</v>
      </c>
      <c r="U8" s="11">
        <f>+U7</f>
        <v>0.43</v>
      </c>
      <c r="V8" s="10">
        <f>ROUND((S8-S7)*U7,2)+V7</f>
        <v>423170</v>
      </c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</row>
    <row r="9" spans="1:44" ht="12.75">
      <c r="A9" s="27" t="s">
        <v>11</v>
      </c>
      <c r="B9" s="29"/>
      <c r="C9" s="29"/>
      <c r="D9" s="23"/>
      <c r="E9" s="195"/>
      <c r="F9" s="196"/>
      <c r="G9" s="197"/>
      <c r="H9" s="198" t="s">
        <v>111</v>
      </c>
      <c r="I9" s="199"/>
      <c r="J9" s="199"/>
      <c r="K9" s="200"/>
      <c r="L9" s="1"/>
      <c r="M9" s="20"/>
      <c r="N9" s="20"/>
      <c r="O9" s="20"/>
      <c r="P9" s="62"/>
      <c r="R9" s="22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</row>
    <row r="10" spans="1:44" ht="12.75">
      <c r="A10" s="27" t="s">
        <v>12</v>
      </c>
      <c r="B10" s="29"/>
      <c r="C10" s="29"/>
      <c r="D10" s="23"/>
      <c r="E10" s="195"/>
      <c r="F10" s="196"/>
      <c r="G10" s="197"/>
      <c r="H10" s="198" t="s">
        <v>112</v>
      </c>
      <c r="I10" s="199"/>
      <c r="J10" s="199"/>
      <c r="K10" s="200"/>
      <c r="L10" s="1"/>
      <c r="M10" s="20"/>
      <c r="N10" s="20"/>
      <c r="O10" s="20"/>
      <c r="P10" s="62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</row>
    <row r="11" spans="1:44" ht="12.75">
      <c r="A11" s="27" t="s">
        <v>14</v>
      </c>
      <c r="B11" s="29"/>
      <c r="C11" s="29"/>
      <c r="D11" s="29"/>
      <c r="E11" s="195"/>
      <c r="F11" s="196"/>
      <c r="G11" s="197"/>
      <c r="H11" s="198" t="s">
        <v>113</v>
      </c>
      <c r="I11" s="199"/>
      <c r="J11" s="199"/>
      <c r="K11" s="200"/>
      <c r="L11" s="143">
        <f>ROUND((E10+E11)*(Aliquote!H9),2)</f>
        <v>0</v>
      </c>
      <c r="M11" s="20"/>
      <c r="N11" s="20"/>
      <c r="O11" s="20"/>
      <c r="P11" s="62"/>
      <c r="R11" s="14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</row>
    <row r="12" spans="1:44" ht="12.75">
      <c r="A12" s="27" t="s">
        <v>16</v>
      </c>
      <c r="B12" s="29"/>
      <c r="C12" s="29"/>
      <c r="D12" s="23"/>
      <c r="E12" s="195"/>
      <c r="F12" s="196"/>
      <c r="G12" s="197"/>
      <c r="H12" s="198" t="s">
        <v>114</v>
      </c>
      <c r="I12" s="199"/>
      <c r="J12" s="199"/>
      <c r="K12" s="200"/>
      <c r="L12" s="144">
        <f>ROUND((E10+E11)*(Aliquote!I9),2)</f>
        <v>0</v>
      </c>
      <c r="M12" s="20"/>
      <c r="N12" s="20"/>
      <c r="O12" s="20"/>
      <c r="P12" s="62"/>
      <c r="R12" s="14"/>
      <c r="S12" s="186" t="s">
        <v>32</v>
      </c>
      <c r="T12" s="186"/>
      <c r="U12" s="186"/>
      <c r="V12" s="186"/>
      <c r="W12" s="186"/>
      <c r="X12" t="s">
        <v>44</v>
      </c>
      <c r="Y12" t="s">
        <v>43</v>
      </c>
      <c r="AD12" s="77"/>
      <c r="AE12" s="78"/>
      <c r="AF12" s="78"/>
      <c r="AG12" s="78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</row>
    <row r="13" spans="1:44" ht="13.5" customHeight="1">
      <c r="A13" s="27" t="s">
        <v>17</v>
      </c>
      <c r="B13" s="29"/>
      <c r="C13" s="29"/>
      <c r="D13" s="23"/>
      <c r="E13" s="195"/>
      <c r="F13" s="196"/>
      <c r="G13" s="197"/>
      <c r="H13" s="198" t="s">
        <v>115</v>
      </c>
      <c r="I13" s="199"/>
      <c r="J13" s="199"/>
      <c r="K13" s="200"/>
      <c r="L13" s="143">
        <f>ROUND(E12*80%*(Aliquote!$G$9)+E12*(Aliquote!$H$9+Aliquote!$I$9),5)</f>
        <v>0</v>
      </c>
      <c r="M13" s="20"/>
      <c r="N13" s="20"/>
      <c r="O13" s="20"/>
      <c r="P13" s="62"/>
      <c r="R13" s="14"/>
      <c r="S13" s="4" t="s">
        <v>33</v>
      </c>
      <c r="T13" s="12">
        <v>80000</v>
      </c>
      <c r="U13" s="4"/>
      <c r="V13" s="12">
        <v>800</v>
      </c>
      <c r="W13" s="12">
        <v>690</v>
      </c>
      <c r="X13">
        <v>110</v>
      </c>
      <c r="Y13">
        <f>ROUND(Lordo/T19,4)</f>
        <v>0</v>
      </c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</row>
    <row r="14" spans="1:44" ht="12.75">
      <c r="A14" s="192" t="s">
        <v>108</v>
      </c>
      <c r="B14" s="193"/>
      <c r="C14" s="193"/>
      <c r="D14" s="194"/>
      <c r="E14" s="195"/>
      <c r="F14" s="196"/>
      <c r="G14" s="197"/>
      <c r="H14" s="198" t="s">
        <v>116</v>
      </c>
      <c r="I14" s="199"/>
      <c r="J14" s="199"/>
      <c r="K14" s="200"/>
      <c r="L14" s="143">
        <f>ROUND(E13*80%*(Aliquote!$G$9)+E13*(Aliquote!$H$9+Aliquote!$I$9),5)</f>
        <v>0</v>
      </c>
      <c r="M14" s="20"/>
      <c r="N14" s="20"/>
      <c r="O14" s="20"/>
      <c r="P14" s="62"/>
      <c r="R14" s="14"/>
      <c r="S14" s="4" t="s">
        <v>34</v>
      </c>
      <c r="T14" s="12">
        <v>95000</v>
      </c>
      <c r="U14" s="4"/>
      <c r="V14" s="12">
        <v>800</v>
      </c>
      <c r="Y14">
        <f>ROUND((Coniuge-Lordo)/T38,4)</f>
        <v>2</v>
      </c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</row>
    <row r="15" spans="1:44" ht="12.75">
      <c r="A15" s="192" t="s">
        <v>109</v>
      </c>
      <c r="B15" s="193"/>
      <c r="C15" s="193"/>
      <c r="D15" s="194"/>
      <c r="E15" s="195"/>
      <c r="F15" s="196"/>
      <c r="G15" s="197"/>
      <c r="H15" s="192" t="s">
        <v>149</v>
      </c>
      <c r="I15" s="193"/>
      <c r="J15" s="193"/>
      <c r="K15" s="194"/>
      <c r="L15" s="143">
        <f>ROUND(E14*80%*(Aliquote!$G$9)+E14*(Aliquote!$H$9+Aliquote!$I$9),5)</f>
        <v>0</v>
      </c>
      <c r="M15" s="20"/>
      <c r="N15" s="20"/>
      <c r="O15" s="20"/>
      <c r="P15" s="62"/>
      <c r="R15" s="14"/>
      <c r="S15" s="4" t="s">
        <v>35</v>
      </c>
      <c r="T15" s="12">
        <v>55000</v>
      </c>
      <c r="U15" s="4"/>
      <c r="V15" s="12">
        <v>1338</v>
      </c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</row>
    <row r="16" spans="1:44" ht="12.75">
      <c r="A16" s="192" t="s">
        <v>148</v>
      </c>
      <c r="B16" s="193"/>
      <c r="C16" s="193"/>
      <c r="D16" s="194"/>
      <c r="E16" s="195"/>
      <c r="F16" s="196"/>
      <c r="G16" s="197"/>
      <c r="H16" s="192" t="s">
        <v>150</v>
      </c>
      <c r="I16" s="193"/>
      <c r="J16" s="193"/>
      <c r="K16" s="194"/>
      <c r="L16" s="144">
        <f>ROUND(E15*(Aliquote!$H$9+Aliquote!$I$9),5)</f>
        <v>0</v>
      </c>
      <c r="M16" s="20"/>
      <c r="N16" s="20"/>
      <c r="O16" s="20"/>
      <c r="P16" s="62"/>
      <c r="R16" s="14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</row>
    <row r="17" spans="1:44" ht="12.75">
      <c r="A17" s="31" t="s">
        <v>15</v>
      </c>
      <c r="B17" s="28"/>
      <c r="C17" s="28"/>
      <c r="D17" s="32"/>
      <c r="E17" s="175">
        <f>SUM(E8:G16)</f>
        <v>0</v>
      </c>
      <c r="F17" s="219"/>
      <c r="G17" s="176"/>
      <c r="H17" s="192" t="s">
        <v>148</v>
      </c>
      <c r="I17" s="193"/>
      <c r="J17" s="193"/>
      <c r="K17" s="194"/>
      <c r="L17" s="189"/>
      <c r="M17" s="20"/>
      <c r="N17" s="20"/>
      <c r="O17" s="20"/>
      <c r="P17" s="62"/>
      <c r="R17" s="14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</row>
    <row r="18" spans="1:44" ht="17.25" customHeight="1" thickBot="1">
      <c r="A18" s="57"/>
      <c r="B18" s="20"/>
      <c r="C18" s="20"/>
      <c r="D18" s="20"/>
      <c r="E18" s="20"/>
      <c r="F18" s="20"/>
      <c r="G18" s="20"/>
      <c r="H18" s="165" t="s">
        <v>15</v>
      </c>
      <c r="I18" s="166"/>
      <c r="J18" s="166"/>
      <c r="K18" s="167"/>
      <c r="L18" s="3">
        <f>SUM(L8:L17)</f>
        <v>0</v>
      </c>
      <c r="M18" s="20"/>
      <c r="N18" s="20"/>
      <c r="O18" s="20"/>
      <c r="P18" s="62"/>
      <c r="R18" s="14"/>
      <c r="S18" s="4" t="s">
        <v>38</v>
      </c>
      <c r="T18" s="12" t="s">
        <v>39</v>
      </c>
      <c r="V18" s="18" t="s">
        <v>45</v>
      </c>
      <c r="W18" s="18" t="s">
        <v>40</v>
      </c>
      <c r="Y18">
        <f>IF(Z18&gt;0,1,0)</f>
        <v>0</v>
      </c>
      <c r="AA18">
        <v>700</v>
      </c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</row>
    <row r="19" spans="1:44" ht="16.5" customHeight="1" hidden="1" thickBot="1">
      <c r="A19" s="79"/>
      <c r="B19" s="25"/>
      <c r="C19" s="25"/>
      <c r="D19" s="25"/>
      <c r="E19" s="25"/>
      <c r="F19" s="25"/>
      <c r="G19" s="25"/>
      <c r="H19" s="20"/>
      <c r="I19" s="20"/>
      <c r="J19" s="20"/>
      <c r="K19" s="20"/>
      <c r="L19" s="20"/>
      <c r="M19" s="20"/>
      <c r="N19" s="20"/>
      <c r="O19" s="20"/>
      <c r="P19" s="62"/>
      <c r="S19" s="187" t="s">
        <v>33</v>
      </c>
      <c r="T19" s="187">
        <v>15000</v>
      </c>
      <c r="V19" s="16">
        <v>0</v>
      </c>
      <c r="W19" s="15">
        <v>0</v>
      </c>
      <c r="Y19">
        <f>IF(Z19&gt;0,1,0)</f>
        <v>0</v>
      </c>
      <c r="AA19">
        <v>500</v>
      </c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</row>
    <row r="20" spans="1:44" ht="16.5" thickBot="1">
      <c r="A20" s="241" t="s">
        <v>66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3"/>
      <c r="S20" s="187"/>
      <c r="T20" s="187"/>
      <c r="V20" s="16"/>
      <c r="W20" s="15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</row>
    <row r="21" spans="1:44" ht="13.5" thickTop="1">
      <c r="A21" s="289" t="s">
        <v>33</v>
      </c>
      <c r="B21" s="289"/>
      <c r="C21" s="289"/>
      <c r="D21" s="2"/>
      <c r="E21" s="25"/>
      <c r="F21" s="63" t="str">
        <f>IF(CNG="Si","Mesi a carico",Vuota1)</f>
        <v>        </v>
      </c>
      <c r="G21" s="63"/>
      <c r="H21" s="63"/>
      <c r="I21" s="45"/>
      <c r="J21" s="20"/>
      <c r="K21" s="20"/>
      <c r="L21" s="20"/>
      <c r="M21" s="20"/>
      <c r="N21" s="20"/>
      <c r="O21" s="20"/>
      <c r="P21" s="62"/>
      <c r="S21" s="187"/>
      <c r="T21" s="187"/>
      <c r="V21" s="16"/>
      <c r="W21" s="15"/>
      <c r="AD21" s="77"/>
      <c r="AE21" s="253" t="s">
        <v>83</v>
      </c>
      <c r="AF21" s="254"/>
      <c r="AG21" s="255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</row>
    <row r="22" spans="1:44" ht="12.75">
      <c r="A22" s="64"/>
      <c r="B22" s="63"/>
      <c r="C22" s="48"/>
      <c r="D22" s="20"/>
      <c r="E22" s="25"/>
      <c r="F22" s="63"/>
      <c r="G22" s="63"/>
      <c r="H22" s="63"/>
      <c r="I22" s="20"/>
      <c r="J22" s="20"/>
      <c r="K22" s="20"/>
      <c r="L22" s="20"/>
      <c r="M22" s="20"/>
      <c r="N22" s="20"/>
      <c r="O22" s="20"/>
      <c r="P22" s="62"/>
      <c r="S22" s="187"/>
      <c r="T22" s="187"/>
      <c r="V22" s="16"/>
      <c r="W22" s="15"/>
      <c r="AD22" s="77"/>
      <c r="AE22" s="256"/>
      <c r="AF22" s="257"/>
      <c r="AG22" s="258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</row>
    <row r="23" spans="1:44" ht="12.75">
      <c r="A23" s="54" t="s">
        <v>67</v>
      </c>
      <c r="B23" s="55"/>
      <c r="C23" s="56"/>
      <c r="D23" s="49"/>
      <c r="E23" s="20"/>
      <c r="F23" s="63" t="str">
        <f>IF(N_Fgl&gt;0,"Se il 1° figlio è in assenza del coniuge barrare la casella &gt;&gt;&gt;&gt;",Vuota1)</f>
        <v>        </v>
      </c>
      <c r="G23" s="63"/>
      <c r="H23" s="63"/>
      <c r="I23" s="20"/>
      <c r="J23" s="25"/>
      <c r="K23" s="20"/>
      <c r="L23" s="20"/>
      <c r="M23" s="20"/>
      <c r="N23" s="43"/>
      <c r="O23" s="63" t="str">
        <f>IF(N23&gt;0,"Mesi a carico",Vuota1)</f>
        <v>        </v>
      </c>
      <c r="P23" s="65"/>
      <c r="S23" s="187"/>
      <c r="T23" s="187"/>
      <c r="V23" s="16"/>
      <c r="W23" s="15"/>
      <c r="AD23" s="77"/>
      <c r="AE23" s="256"/>
      <c r="AF23" s="257"/>
      <c r="AG23" s="258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</row>
    <row r="24" spans="1:44" ht="12.75" customHeight="1">
      <c r="A24" s="47"/>
      <c r="B24" s="239" t="s">
        <v>64</v>
      </c>
      <c r="C24" s="240"/>
      <c r="D24" s="293"/>
      <c r="E24" s="294" t="s">
        <v>65</v>
      </c>
      <c r="F24" s="295"/>
      <c r="G24" s="293"/>
      <c r="H24" s="294" t="s">
        <v>59</v>
      </c>
      <c r="I24" s="295"/>
      <c r="J24" s="293"/>
      <c r="K24" s="42" t="s">
        <v>80</v>
      </c>
      <c r="L24" s="63"/>
      <c r="M24" s="20"/>
      <c r="N24" s="20"/>
      <c r="O24" s="20"/>
      <c r="P24" s="62"/>
      <c r="S24" s="187"/>
      <c r="T24" s="187"/>
      <c r="V24" s="16"/>
      <c r="W24" s="15"/>
      <c r="AD24" s="77"/>
      <c r="AE24" s="256"/>
      <c r="AF24" s="257"/>
      <c r="AG24" s="258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</row>
    <row r="25" spans="1:44" ht="12.75">
      <c r="A25" s="64" t="str">
        <f>IF(N_Fgl&gt;0,"1° figlio",Vuota1)</f>
        <v>        </v>
      </c>
      <c r="B25" s="63"/>
      <c r="C25" s="43"/>
      <c r="D25" s="63"/>
      <c r="E25" s="63"/>
      <c r="F25" s="43"/>
      <c r="G25" s="63"/>
      <c r="H25" s="63"/>
      <c r="I25" s="43"/>
      <c r="J25" s="63"/>
      <c r="K25" s="43"/>
      <c r="L25" s="66" t="str">
        <f>IF(K25&gt;0,IF(N_Fgl&gt;0,IF(P23=12,R27,ROUND(dsfig/12*(K25-P23)*Perc,5)+IF(F25&gt;0,ROUND(((dsfg3-dsfig)/12*(K25-P23))*Perc,5),0)+IF(I25&gt;0,ROUND(dsfhc/12*(K25-P23)*Perc,5),0)+IF(P23&gt;0,R27,0)),Vuota1),Vuota1)</f>
        <v>        </v>
      </c>
      <c r="M25" s="231" t="s">
        <v>69</v>
      </c>
      <c r="N25" s="232"/>
      <c r="O25" s="233"/>
      <c r="P25" s="244">
        <v>1</v>
      </c>
      <c r="R25" s="14">
        <f>ROUND(dsfig/12*$K$25,5)+IF($F$25&gt;0,ROUND((dsfg3-dsfig)/12*$K$25,5),0)+IF($I$25&gt;0,ROUND(dsfhc/12*$K$25,5),0)</f>
        <v>0</v>
      </c>
      <c r="S25" s="187"/>
      <c r="T25" s="187"/>
      <c r="V25" s="16"/>
      <c r="W25" s="15"/>
      <c r="AD25" s="77"/>
      <c r="AE25" s="256"/>
      <c r="AF25" s="257"/>
      <c r="AG25" s="258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</row>
    <row r="26" spans="1:44" ht="13.5" thickBot="1">
      <c r="A26" s="64" t="str">
        <f>IF(N_Fgl&gt;1,"2° figlio"," ")</f>
        <v> </v>
      </c>
      <c r="B26" s="63"/>
      <c r="C26" s="43"/>
      <c r="D26" s="63"/>
      <c r="E26" s="63"/>
      <c r="F26" s="43"/>
      <c r="G26" s="63"/>
      <c r="H26" s="63"/>
      <c r="I26" s="43"/>
      <c r="J26" s="63"/>
      <c r="K26" s="43"/>
      <c r="L26" s="66" t="str">
        <f aca="true" t="shared" si="0" ref="L26:L31">IF(K26&gt;0,IF(N_Fgl&gt;1,ROUND(dsfig/12*K26*Perc,5)+IF(F26&gt;0,ROUND(((dsfg3-dsfig)/12*K26)*Perc,5),0)+IF(I26&gt;0,ROUND(dsfhc/12*K26*Perc,5),0)),Vuota1)</f>
        <v>        </v>
      </c>
      <c r="M26" s="234"/>
      <c r="N26" s="188"/>
      <c r="O26" s="235"/>
      <c r="P26" s="245"/>
      <c r="S26" s="187"/>
      <c r="T26" s="187"/>
      <c r="V26" s="16"/>
      <c r="W26" s="15"/>
      <c r="AD26" s="77"/>
      <c r="AE26" s="259"/>
      <c r="AF26" s="260"/>
      <c r="AG26" s="261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</row>
    <row r="27" spans="1:44" ht="13.5" thickTop="1">
      <c r="A27" s="64" t="str">
        <f>IF(N_Fgl&gt;2,"3° figlio"," ")</f>
        <v> </v>
      </c>
      <c r="B27" s="63"/>
      <c r="C27" s="43"/>
      <c r="D27" s="63"/>
      <c r="E27" s="63"/>
      <c r="F27" s="43"/>
      <c r="G27" s="63"/>
      <c r="H27" s="63"/>
      <c r="I27" s="43"/>
      <c r="J27" s="63"/>
      <c r="K27" s="43"/>
      <c r="L27" s="66" t="str">
        <f t="shared" si="0"/>
        <v>        </v>
      </c>
      <c r="M27" s="236"/>
      <c r="N27" s="237"/>
      <c r="O27" s="238"/>
      <c r="P27" s="246"/>
      <c r="R27" s="14">
        <f>IF($N$23&gt;0,IF($R$25&gt;Cng_nn,ROUND($R$25/12*P23,5),ROUND(Cng_nn/12*$P$23,5)),R25)</f>
        <v>0</v>
      </c>
      <c r="S27" s="187"/>
      <c r="T27" s="187"/>
      <c r="V27" s="16"/>
      <c r="W27" s="15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</row>
    <row r="28" spans="1:44" ht="12.75">
      <c r="A28" s="64" t="str">
        <f>IF(N_Fgl&gt;3,"4° figlio"," ")</f>
        <v> </v>
      </c>
      <c r="B28" s="63"/>
      <c r="C28" s="43"/>
      <c r="D28" s="63"/>
      <c r="E28" s="63"/>
      <c r="F28" s="43"/>
      <c r="G28" s="63"/>
      <c r="H28" s="63"/>
      <c r="I28" s="43"/>
      <c r="J28" s="63"/>
      <c r="K28" s="43"/>
      <c r="L28" s="66" t="str">
        <f t="shared" si="0"/>
        <v>        </v>
      </c>
      <c r="M28" s="20"/>
      <c r="N28" s="20"/>
      <c r="O28" s="20"/>
      <c r="P28" s="62"/>
      <c r="S28" s="187"/>
      <c r="T28" s="187"/>
      <c r="V28" s="16"/>
      <c r="W28" s="15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</row>
    <row r="29" spans="1:44" ht="12.75">
      <c r="A29" s="64" t="str">
        <f>IF(N_Fgl&gt;4,"5° figlio"," ")</f>
        <v> </v>
      </c>
      <c r="B29" s="63"/>
      <c r="C29" s="43"/>
      <c r="D29" s="63"/>
      <c r="E29" s="63"/>
      <c r="F29" s="43"/>
      <c r="G29" s="63"/>
      <c r="H29" s="63"/>
      <c r="I29" s="43"/>
      <c r="J29" s="63"/>
      <c r="K29" s="43"/>
      <c r="L29" s="66" t="str">
        <f t="shared" si="0"/>
        <v>        </v>
      </c>
      <c r="M29" s="20"/>
      <c r="N29" s="20"/>
      <c r="O29" s="20"/>
      <c r="P29" s="62"/>
      <c r="S29" s="187"/>
      <c r="T29" s="187"/>
      <c r="V29" s="16"/>
      <c r="W29" s="15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</row>
    <row r="30" spans="1:44" ht="12.75">
      <c r="A30" s="64" t="str">
        <f>IF(N_Fgl&gt;5,"6° figlio"," ")</f>
        <v> </v>
      </c>
      <c r="B30" s="63"/>
      <c r="C30" s="43"/>
      <c r="D30" s="63"/>
      <c r="E30" s="63"/>
      <c r="F30" s="43"/>
      <c r="G30" s="63"/>
      <c r="H30" s="63"/>
      <c r="I30" s="43"/>
      <c r="J30" s="63"/>
      <c r="K30" s="43"/>
      <c r="L30" s="66" t="str">
        <f t="shared" si="0"/>
        <v>        </v>
      </c>
      <c r="M30" s="20"/>
      <c r="N30" s="20"/>
      <c r="O30" s="20"/>
      <c r="P30" s="62"/>
      <c r="S30" s="187"/>
      <c r="T30" s="187"/>
      <c r="V30" s="16"/>
      <c r="W30" s="15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</row>
    <row r="31" spans="1:44" ht="12.75">
      <c r="A31" s="64" t="str">
        <f>IF(N_Fgl&gt;6,"7° figlio"," ")</f>
        <v> </v>
      </c>
      <c r="B31" s="63"/>
      <c r="C31" s="43"/>
      <c r="D31" s="63"/>
      <c r="E31" s="63"/>
      <c r="F31" s="43"/>
      <c r="G31" s="63"/>
      <c r="H31" s="63"/>
      <c r="I31" s="43"/>
      <c r="J31" s="63"/>
      <c r="K31" s="43"/>
      <c r="L31" s="66" t="str">
        <f t="shared" si="0"/>
        <v>        </v>
      </c>
      <c r="M31" s="20"/>
      <c r="N31" s="20"/>
      <c r="O31" s="20"/>
      <c r="P31" s="62"/>
      <c r="S31" s="187"/>
      <c r="T31" s="187"/>
      <c r="V31" s="16"/>
      <c r="W31" s="15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</row>
    <row r="32" spans="1:44" ht="12.75">
      <c r="A32" s="5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62"/>
      <c r="S32" s="187"/>
      <c r="T32" s="187"/>
      <c r="V32" s="16"/>
      <c r="W32" s="15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</row>
    <row r="33" spans="1:44" ht="12.75">
      <c r="A33" s="286" t="s">
        <v>86</v>
      </c>
      <c r="B33" s="287"/>
      <c r="C33" s="288"/>
      <c r="D33" s="2"/>
      <c r="E33" s="20"/>
      <c r="F33" s="63" t="str">
        <f>IF(D33&gt;0,"Mesi a carico",Vuota1)</f>
        <v>        </v>
      </c>
      <c r="G33" s="63"/>
      <c r="H33" s="63"/>
      <c r="I33" s="45"/>
      <c r="J33" s="20"/>
      <c r="K33" s="188" t="str">
        <f>IF(D33&gt;0,"Indicare il numero complessivo degli aventi diritto alla detrazione pro quota",Vuota1)</f>
        <v>        </v>
      </c>
      <c r="L33" s="179"/>
      <c r="M33" s="179"/>
      <c r="N33" s="179"/>
      <c r="O33" s="179"/>
      <c r="P33" s="223"/>
      <c r="S33" s="187"/>
      <c r="T33" s="187"/>
      <c r="V33" s="16"/>
      <c r="W33" s="15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</row>
    <row r="34" spans="1:44" ht="12.75">
      <c r="A34" s="80"/>
      <c r="B34" s="81"/>
      <c r="C34" s="81"/>
      <c r="D34" s="82"/>
      <c r="E34" s="20"/>
      <c r="F34" s="63"/>
      <c r="G34" s="63"/>
      <c r="H34" s="63"/>
      <c r="I34" s="45"/>
      <c r="J34" s="20"/>
      <c r="K34" s="180"/>
      <c r="L34" s="180"/>
      <c r="M34" s="180"/>
      <c r="N34" s="180"/>
      <c r="O34" s="180"/>
      <c r="P34" s="224"/>
      <c r="S34" s="187"/>
      <c r="T34" s="187"/>
      <c r="V34" s="16"/>
      <c r="W34" s="15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</row>
    <row r="35" spans="1:44" ht="12.75">
      <c r="A35" s="165" t="s">
        <v>70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7"/>
      <c r="S35" s="187"/>
      <c r="T35" s="187"/>
      <c r="V35" s="13">
        <v>0.0001</v>
      </c>
      <c r="W35">
        <f>ROUND(DetrConiuge-(Ind*Rapp),5)</f>
        <v>800</v>
      </c>
      <c r="Y35">
        <f>IF(Z35&gt;0,1,0)</f>
        <v>0</v>
      </c>
      <c r="AA35">
        <v>200</v>
      </c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</row>
    <row r="36" spans="1:44" ht="12.75">
      <c r="A36" s="290" t="s">
        <v>32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2"/>
      <c r="R36" s="184" t="s">
        <v>62</v>
      </c>
      <c r="S36" s="187"/>
      <c r="T36" s="187"/>
      <c r="V36" s="12">
        <v>1</v>
      </c>
      <c r="W36">
        <f>+DetrRid</f>
        <v>690</v>
      </c>
      <c r="Y36">
        <f>IF(Z36&gt;0,1,0)</f>
        <v>0</v>
      </c>
      <c r="AA36">
        <v>1500</v>
      </c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</row>
    <row r="37" spans="1:44" ht="12.75">
      <c r="A37" s="225" t="s">
        <v>19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7"/>
      <c r="M37" s="3">
        <f>IF(Lordo&gt;0,IF(CNG="SI",ROUND((VLOOKUP(Lordo,ConDetr,3)+VLOOKUP(Lordo,LettB,3))/12*Me_co,2),0),0)</f>
        <v>0</v>
      </c>
      <c r="N37" s="20"/>
      <c r="O37" s="20"/>
      <c r="P37" s="62"/>
      <c r="R37" s="184"/>
      <c r="S37" s="187"/>
      <c r="T37" s="187"/>
      <c r="V37" s="12">
        <v>10</v>
      </c>
      <c r="W37">
        <f>ROUND(DetrConiuge-(Ind*Rapp),2)</f>
        <v>800</v>
      </c>
      <c r="Y37">
        <f>SUM(Y18:Y36)</f>
        <v>0</v>
      </c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</row>
    <row r="38" spans="1:44" ht="12.75">
      <c r="A38" s="225" t="s">
        <v>42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7"/>
      <c r="M38" s="3">
        <f>IF(Lordo&gt;0,ROUND(SUMIF(L25:L31,"&gt;0"),2),0)</f>
        <v>0</v>
      </c>
      <c r="N38" s="20"/>
      <c r="O38" s="20"/>
      <c r="P38" s="62"/>
      <c r="R38" s="22">
        <f>IF(Lordo&gt;0,ROUND((VLOOKUP(Lordo,ConDetr,3)+VLOOKUP(Lordo,LettB,3)),5),0)</f>
        <v>0</v>
      </c>
      <c r="S38" s="187"/>
      <c r="T38" s="12">
        <v>40000</v>
      </c>
      <c r="W38">
        <f>+DetrRid</f>
        <v>690</v>
      </c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</row>
    <row r="39" spans="1:44" ht="12.75">
      <c r="A39" s="225" t="s">
        <v>56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7"/>
      <c r="M39" s="3">
        <f>IF(Lordo&gt;0,IF(D33&gt;0,IF(P33&gt;0,ROUND(dsaltri*D33/12*I33/P33,2),0),0),0)</f>
        <v>0</v>
      </c>
      <c r="N39" s="20"/>
      <c r="O39" s="20"/>
      <c r="P39" s="62"/>
      <c r="S39" s="187"/>
      <c r="T39" s="187">
        <v>80000</v>
      </c>
      <c r="V39" s="16">
        <v>0</v>
      </c>
      <c r="W39">
        <v>0</v>
      </c>
      <c r="Z39">
        <f>IF(Y37&gt;0,IF(VLOOKUP(Z42,abi,2)&lt;DetrRid,DetrRid,VLOOKUP(Z42,abi,2)),0)</f>
        <v>0</v>
      </c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</row>
    <row r="40" spans="1:44" ht="12.75">
      <c r="A40" s="172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4"/>
      <c r="R40" s="184" t="s">
        <v>63</v>
      </c>
      <c r="S40" s="187"/>
      <c r="T40" s="187"/>
      <c r="V40" s="13">
        <v>0.0001</v>
      </c>
      <c r="W40" s="14">
        <f>ROUND(DetrRid*Rap1,5)</f>
        <v>1380</v>
      </c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</row>
    <row r="41" spans="1:44" ht="12.75">
      <c r="A41" s="225" t="s">
        <v>76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7"/>
      <c r="M41" s="3">
        <f>SUM(M37:M39)</f>
        <v>0</v>
      </c>
      <c r="N41" s="20"/>
      <c r="O41" s="20"/>
      <c r="P41" s="62"/>
      <c r="R41" s="184"/>
      <c r="S41" s="187"/>
      <c r="T41" s="187"/>
      <c r="V41" s="12">
        <v>1</v>
      </c>
      <c r="W41" s="14">
        <f>ROUND(DetrRid*Rap1,5)</f>
        <v>1380</v>
      </c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</row>
    <row r="42" spans="1:44" ht="12.75">
      <c r="A42" s="165" t="s">
        <v>71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7"/>
      <c r="R42" s="14">
        <f>dsfig+IF($F$25&gt;0,dsfg3-dsfig,0)+IF($I$25&gt;0,dsfhc,0)</f>
        <v>0</v>
      </c>
      <c r="S42" s="187"/>
      <c r="T42" s="187"/>
      <c r="V42" s="12">
        <v>10</v>
      </c>
      <c r="W42" s="14">
        <f>ROUND(DetrRid*Rap1,5)</f>
        <v>1380</v>
      </c>
      <c r="Z42" t="s">
        <v>58</v>
      </c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</row>
    <row r="43" spans="1:44" ht="12.75">
      <c r="A43" s="155" t="s">
        <v>73</v>
      </c>
      <c r="B43" s="156"/>
      <c r="C43" s="156"/>
      <c r="D43" s="156"/>
      <c r="E43" s="156"/>
      <c r="F43" s="157"/>
      <c r="G43" s="46" t="str">
        <f>IF(Lordo&gt;0,IF(G44&gt;0,Vuota1,"x"),Vuota1)</f>
        <v>        </v>
      </c>
      <c r="H43" s="63"/>
      <c r="I43" s="158" t="s">
        <v>140</v>
      </c>
      <c r="J43" s="158"/>
      <c r="K43" s="158"/>
      <c r="L43" s="159"/>
      <c r="M43" s="2">
        <v>365</v>
      </c>
      <c r="N43" s="20"/>
      <c r="O43" s="20"/>
      <c r="P43" s="62"/>
      <c r="S43" s="187"/>
      <c r="T43" s="14">
        <v>1000000000</v>
      </c>
      <c r="V43">
        <v>0</v>
      </c>
      <c r="W43">
        <v>0</v>
      </c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</row>
    <row r="44" spans="1:44" ht="12.75">
      <c r="A44" s="67" t="s">
        <v>74</v>
      </c>
      <c r="B44" s="68"/>
      <c r="C44" s="68"/>
      <c r="D44" s="68"/>
      <c r="E44" s="68"/>
      <c r="F44" s="20"/>
      <c r="G44" s="2"/>
      <c r="H44" s="63"/>
      <c r="I44" s="63"/>
      <c r="J44" s="63"/>
      <c r="K44" s="158" t="s">
        <v>77</v>
      </c>
      <c r="L44" s="158"/>
      <c r="M44" s="158"/>
      <c r="N44" s="159"/>
      <c r="O44" s="39">
        <f>ROUND(IF(Lordo&gt;0,IF(G44&gt;0,IF(Lordo&lt;8000.01,IF(R44&gt;R47,R44,R47),R44),IF(Lordo&lt;8000.01,IF(R44&gt;R46,R44,R46),R44)),0),2)</f>
        <v>0</v>
      </c>
      <c r="P44" s="62"/>
      <c r="R44" s="161">
        <f>IF(Lordo&gt;0,ROUND((VLOOKUP(Lordo,Altre_detraz,2)/365*M43+VLOOKUP(Lordo,Aum_altre,2)),5),0)</f>
        <v>0</v>
      </c>
      <c r="S44" s="18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</row>
    <row r="45" spans="1:44" ht="12.75" customHeight="1" thickBot="1">
      <c r="A45" s="6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70"/>
      <c r="S45" s="18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</row>
    <row r="46" spans="1:44" ht="12.75" customHeight="1" thickBot="1">
      <c r="A46" s="220" t="s">
        <v>142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2"/>
      <c r="O46" s="228">
        <f>+E17-L18</f>
        <v>0</v>
      </c>
      <c r="P46" s="228"/>
      <c r="R46" s="14">
        <v>690</v>
      </c>
      <c r="S46" s="187"/>
      <c r="T46" s="14">
        <v>0.001</v>
      </c>
      <c r="V46" s="14">
        <f>VLOOKUP(Rapp,quin,2)</f>
        <v>0</v>
      </c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</row>
    <row r="47" spans="1:44" ht="12.75" customHeight="1" thickBot="1">
      <c r="A47" s="220" t="s">
        <v>143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2"/>
      <c r="O47" s="162">
        <f>IF(ReddNetto&gt;0,ROUND((ReddNetto-VLOOKUP(ReddNetto,Aliquote,1))*VLOOKUP(ReddNetto,Aliquote,3),5)+VLOOKUP(ReddNetto,Aliquote,4),0)</f>
        <v>0</v>
      </c>
      <c r="P47" s="162"/>
      <c r="R47" s="14">
        <v>1380</v>
      </c>
      <c r="S47" s="187"/>
      <c r="T47" s="14">
        <v>15000</v>
      </c>
      <c r="V47" s="14">
        <f>+DetrRid</f>
        <v>690</v>
      </c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</row>
    <row r="48" spans="1:44" ht="13.5" thickBot="1">
      <c r="A48" s="220" t="s">
        <v>144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2"/>
      <c r="O48" s="162">
        <f>+M41+O44</f>
        <v>0</v>
      </c>
      <c r="P48" s="162"/>
      <c r="S48" s="187"/>
      <c r="T48" s="14">
        <v>40000</v>
      </c>
      <c r="V48" s="14">
        <f>VLOOKUP(Rap1,ottan,2)</f>
        <v>1380</v>
      </c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</row>
    <row r="49" spans="1:44" ht="16.5" thickBot="1">
      <c r="A49" s="229" t="s">
        <v>145</v>
      </c>
      <c r="B49" s="230"/>
      <c r="C49" s="230"/>
      <c r="D49" s="230"/>
      <c r="E49" s="230"/>
      <c r="F49" s="230"/>
      <c r="G49" s="221"/>
      <c r="H49" s="221"/>
      <c r="I49" s="221"/>
      <c r="J49" s="221"/>
      <c r="K49" s="221"/>
      <c r="L49" s="221"/>
      <c r="M49" s="221"/>
      <c r="N49" s="222"/>
      <c r="O49" s="177">
        <f>IF(O47-O48&gt;0,O47-O48,0)</f>
        <v>0</v>
      </c>
      <c r="P49" s="178"/>
      <c r="S49" s="187"/>
      <c r="T49" s="14">
        <v>80000</v>
      </c>
      <c r="V49" s="14">
        <v>0</v>
      </c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</row>
    <row r="50" spans="1:44" ht="12.75">
      <c r="A50" s="190" t="s">
        <v>146</v>
      </c>
      <c r="B50" s="190"/>
      <c r="C50" s="190"/>
      <c r="D50" s="190"/>
      <c r="E50" s="191" t="str">
        <f>IF(Lordo&gt;0,VLOOKUP(ReddNetto,Aliquote,3),Vuota1)</f>
        <v>        </v>
      </c>
      <c r="F50" s="191"/>
      <c r="G50" s="41"/>
      <c r="H50" s="41"/>
      <c r="I50" s="41"/>
      <c r="J50" s="41"/>
      <c r="K50" s="41"/>
      <c r="L50" s="41"/>
      <c r="M50" s="41"/>
      <c r="N50" s="41"/>
      <c r="O50" s="41"/>
      <c r="P50" s="73"/>
      <c r="S50" s="18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</row>
    <row r="51" spans="1:44" ht="12.75">
      <c r="A51" s="57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62"/>
      <c r="S51" s="187"/>
      <c r="T51" s="17">
        <v>0</v>
      </c>
      <c r="V51">
        <v>0</v>
      </c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</row>
    <row r="52" spans="1:44" ht="13.5">
      <c r="A52" s="168" t="s">
        <v>21</v>
      </c>
      <c r="B52" s="169"/>
      <c r="C52" s="169"/>
      <c r="D52" s="153"/>
      <c r="E52" s="163" t="s">
        <v>22</v>
      </c>
      <c r="F52" s="154"/>
      <c r="G52" s="164"/>
      <c r="H52" s="163" t="s">
        <v>23</v>
      </c>
      <c r="I52" s="154"/>
      <c r="J52" s="164"/>
      <c r="K52" s="163" t="s">
        <v>24</v>
      </c>
      <c r="L52" s="164"/>
      <c r="M52" s="52" t="s">
        <v>25</v>
      </c>
      <c r="N52" s="163" t="s">
        <v>26</v>
      </c>
      <c r="O52" s="164"/>
      <c r="P52" s="62"/>
      <c r="S52" s="187"/>
      <c r="T52" s="17">
        <v>29000.01</v>
      </c>
      <c r="V52">
        <v>10</v>
      </c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</row>
    <row r="53" spans="1:44" ht="12.75">
      <c r="A53" s="163" t="s">
        <v>27</v>
      </c>
      <c r="B53" s="154"/>
      <c r="C53" s="154"/>
      <c r="D53" s="164"/>
      <c r="E53" s="53"/>
      <c r="F53" s="2">
        <v>1.4</v>
      </c>
      <c r="G53" s="53"/>
      <c r="H53" s="175">
        <f>+ReddNetto</f>
        <v>0</v>
      </c>
      <c r="I53" s="219"/>
      <c r="J53" s="176"/>
      <c r="K53" s="175">
        <f>ROUND(H53*F53%,5)</f>
        <v>0</v>
      </c>
      <c r="L53" s="176"/>
      <c r="M53" s="2">
        <v>11</v>
      </c>
      <c r="N53" s="175">
        <f>ROUND(K53/M53,5)</f>
        <v>0</v>
      </c>
      <c r="O53" s="176"/>
      <c r="P53" s="62"/>
      <c r="S53" s="187"/>
      <c r="T53" s="17">
        <v>29200.01</v>
      </c>
      <c r="V53">
        <v>20</v>
      </c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</row>
    <row r="54" spans="1:44" ht="12.75">
      <c r="A54" s="163" t="s">
        <v>28</v>
      </c>
      <c r="B54" s="154"/>
      <c r="C54" s="154"/>
      <c r="D54" s="164"/>
      <c r="E54" s="53"/>
      <c r="F54" s="2">
        <v>0.4</v>
      </c>
      <c r="G54" s="53"/>
      <c r="H54" s="175">
        <f>+ReddNetto</f>
        <v>0</v>
      </c>
      <c r="I54" s="219"/>
      <c r="J54" s="176"/>
      <c r="K54" s="175">
        <f>ROUND(H54*F54%,5)</f>
        <v>0</v>
      </c>
      <c r="L54" s="176"/>
      <c r="M54" s="2">
        <v>11</v>
      </c>
      <c r="N54" s="175">
        <f>ROUND(K54/M54,5)</f>
        <v>0</v>
      </c>
      <c r="O54" s="176"/>
      <c r="P54" s="62"/>
      <c r="S54" s="187"/>
      <c r="T54" s="17">
        <v>34700.01</v>
      </c>
      <c r="V54">
        <v>30</v>
      </c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</row>
    <row r="55" spans="1:44" ht="12.75">
      <c r="A55" s="282" t="s">
        <v>87</v>
      </c>
      <c r="B55" s="282"/>
      <c r="C55" s="84">
        <v>16</v>
      </c>
      <c r="D55" s="282" t="s">
        <v>88</v>
      </c>
      <c r="E55" s="282"/>
      <c r="F55" s="282"/>
      <c r="G55" s="282"/>
      <c r="H55" s="283" t="s">
        <v>89</v>
      </c>
      <c r="I55" s="283"/>
      <c r="J55" s="20"/>
      <c r="K55" s="20"/>
      <c r="L55" s="20"/>
      <c r="M55" s="20"/>
      <c r="N55" s="20"/>
      <c r="O55" s="20"/>
      <c r="P55" s="62"/>
      <c r="S55" s="187"/>
      <c r="T55" s="17">
        <v>35000.01</v>
      </c>
      <c r="V55">
        <v>20</v>
      </c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</row>
    <row r="56" spans="1:44" ht="12.75">
      <c r="A56" s="47"/>
      <c r="B56" s="48"/>
      <c r="C56" s="43"/>
      <c r="D56" s="48"/>
      <c r="E56" s="48"/>
      <c r="F56" s="48"/>
      <c r="G56" s="48"/>
      <c r="H56" s="43"/>
      <c r="I56" s="43"/>
      <c r="J56" s="20"/>
      <c r="K56" s="20"/>
      <c r="L56" s="20"/>
      <c r="M56" s="20"/>
      <c r="N56" s="20"/>
      <c r="O56" s="20"/>
      <c r="P56" s="62"/>
      <c r="S56" s="187"/>
      <c r="T56" s="17">
        <v>35100.01</v>
      </c>
      <c r="V56">
        <v>10</v>
      </c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</row>
    <row r="57" spans="1:44" ht="12.75" customHeight="1">
      <c r="A57" s="175" t="s">
        <v>91</v>
      </c>
      <c r="B57" s="219"/>
      <c r="C57" s="176"/>
      <c r="D57" s="284">
        <f>ROUND(K54*30%,2)</f>
        <v>0</v>
      </c>
      <c r="E57" s="285"/>
      <c r="F57" s="2"/>
      <c r="G57" s="175" t="e">
        <f>ROUND(D57/F57,2)</f>
        <v>#DIV/0!</v>
      </c>
      <c r="H57" s="176"/>
      <c r="I57" s="20"/>
      <c r="J57" s="20"/>
      <c r="K57" s="20"/>
      <c r="L57" s="20"/>
      <c r="M57" s="20"/>
      <c r="N57" s="20"/>
      <c r="O57" s="20"/>
      <c r="P57" s="62"/>
      <c r="S57" s="187"/>
      <c r="T57" s="17">
        <v>35200.01</v>
      </c>
      <c r="V57">
        <v>0</v>
      </c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</row>
    <row r="58" spans="1:44" ht="12.75">
      <c r="A58" s="239" t="s">
        <v>92</v>
      </c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81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</row>
    <row r="59" spans="19:23" ht="12.75">
      <c r="S59" t="s">
        <v>46</v>
      </c>
      <c r="T59" s="19" t="s">
        <v>47</v>
      </c>
      <c r="U59" s="171" t="s">
        <v>52</v>
      </c>
      <c r="V59" s="18" t="s">
        <v>48</v>
      </c>
      <c r="W59" s="18" t="s">
        <v>53</v>
      </c>
    </row>
    <row r="60" spans="20:23" ht="12.75">
      <c r="T60" s="17">
        <v>95000</v>
      </c>
      <c r="U60" s="171"/>
      <c r="V60" s="14">
        <v>15000</v>
      </c>
      <c r="W60" s="14">
        <f>IF(U61&gt;1,ROUND((U61-1)*V60,2)+T60,T60)</f>
        <v>95000</v>
      </c>
    </row>
    <row r="61" spans="20:25" ht="12.75">
      <c r="T61" s="18" t="s">
        <v>55</v>
      </c>
      <c r="U61">
        <f>+N_Fgl</f>
        <v>0</v>
      </c>
      <c r="V61" s="18" t="s">
        <v>54</v>
      </c>
      <c r="W61" s="18" t="s">
        <v>45</v>
      </c>
      <c r="X61" s="18"/>
      <c r="Y61" s="18" t="s">
        <v>41</v>
      </c>
    </row>
    <row r="62" spans="19:28" ht="12.75">
      <c r="S62" t="s">
        <v>51</v>
      </c>
      <c r="T62" s="14">
        <f>IF(Som_fg&gt;3,1000,800)</f>
        <v>800</v>
      </c>
      <c r="V62" s="14">
        <f>ROUND(fgl*VLOOKUP($Y$62,IndRapp,2),5)</f>
        <v>0</v>
      </c>
      <c r="W62" s="16">
        <v>0</v>
      </c>
      <c r="X62">
        <v>0</v>
      </c>
      <c r="Y62" s="83">
        <f>ROUND((ImFisFin-Lordo)/ImFisFin,6)</f>
        <v>1</v>
      </c>
      <c r="AA62" s="14">
        <f>+dsfig</f>
        <v>0</v>
      </c>
      <c r="AB62" s="14">
        <f>+AA62</f>
        <v>0</v>
      </c>
    </row>
    <row r="63" spans="19:28" ht="12.75">
      <c r="S63" t="s">
        <v>49</v>
      </c>
      <c r="T63" s="14">
        <f>IF(Som_fg&gt;3,1100,900)</f>
        <v>900</v>
      </c>
      <c r="V63" s="14">
        <f>ROUND(T63*VLOOKUP($Y$62,IndRapp,2),5)</f>
        <v>0</v>
      </c>
      <c r="W63" s="13">
        <v>0.0001</v>
      </c>
      <c r="X63">
        <f>+Y62</f>
        <v>1</v>
      </c>
      <c r="AA63" s="14">
        <f>+dsfg3</f>
        <v>0</v>
      </c>
      <c r="AB63" s="14">
        <f>+AA63</f>
        <v>0</v>
      </c>
    </row>
    <row r="64" spans="19:28" ht="12.75">
      <c r="S64" t="s">
        <v>50</v>
      </c>
      <c r="T64" s="14">
        <v>220</v>
      </c>
      <c r="V64" s="14">
        <f>ROUND(fglh*VLOOKUP($Y$62,IndRapp,2),5)</f>
        <v>0</v>
      </c>
      <c r="W64" s="12">
        <v>1</v>
      </c>
      <c r="X64">
        <v>0</v>
      </c>
      <c r="AA64" s="14">
        <f>+dsfhc</f>
        <v>0</v>
      </c>
      <c r="AB64" s="14">
        <f>+AA64</f>
        <v>0</v>
      </c>
    </row>
    <row r="65" spans="22:24" ht="12.75">
      <c r="V65" s="14"/>
      <c r="W65" s="12">
        <v>10</v>
      </c>
      <c r="X65">
        <f>+Y62</f>
        <v>1</v>
      </c>
    </row>
    <row r="66" spans="19:22" ht="12.75">
      <c r="S66" t="s">
        <v>57</v>
      </c>
      <c r="T66">
        <v>750</v>
      </c>
      <c r="V66" s="14">
        <f>ROUND(Altri*VLOOKUP(Y67,Rapp_Altri,2),5)</f>
        <v>0</v>
      </c>
    </row>
    <row r="67" ht="12.75">
      <c r="Y67" s="83">
        <f>ROUND((80000-Lordo)/80000,6)</f>
        <v>1</v>
      </c>
    </row>
    <row r="68" spans="19:25" ht="12.75">
      <c r="S68" t="s">
        <v>72</v>
      </c>
      <c r="V68" t="s">
        <v>41</v>
      </c>
      <c r="X68" s="16">
        <v>0</v>
      </c>
      <c r="Y68">
        <v>0</v>
      </c>
    </row>
    <row r="69" spans="19:25" ht="12.75">
      <c r="S69" s="14">
        <v>1</v>
      </c>
      <c r="T69" s="14">
        <v>1840</v>
      </c>
      <c r="V69" s="83">
        <f>IF(ROUND((15000-Lordo)/7000,6)&gt;0,ROUND((15000-Lordo)/7000,6),0)</f>
        <v>2.142857</v>
      </c>
      <c r="X69" s="13">
        <v>0.0001</v>
      </c>
      <c r="Y69" s="83">
        <f>+Y67</f>
        <v>1</v>
      </c>
    </row>
    <row r="70" spans="19:25" ht="12.75">
      <c r="S70" s="14">
        <v>8000.01</v>
      </c>
      <c r="T70" s="14">
        <f>1338+ROUND(502*V69,2)</f>
        <v>2413.71</v>
      </c>
      <c r="V70">
        <f>ROUND((55000-Lordo)/40000,5)</f>
        <v>1.375</v>
      </c>
      <c r="X70" s="12">
        <v>1</v>
      </c>
      <c r="Y70">
        <v>0</v>
      </c>
    </row>
    <row r="71" spans="19:25" ht="12.75">
      <c r="S71" s="14">
        <v>15000.01</v>
      </c>
      <c r="T71" s="14">
        <f>ROUND(1338*V70,2)</f>
        <v>1839.75</v>
      </c>
      <c r="X71" s="12">
        <v>10</v>
      </c>
      <c r="Y71" s="83">
        <f>+Y67</f>
        <v>1</v>
      </c>
    </row>
    <row r="72" spans="19:25" ht="12.75">
      <c r="S72" s="14">
        <v>55000.01</v>
      </c>
      <c r="T72" s="14">
        <v>0</v>
      </c>
      <c r="X72" s="12"/>
      <c r="Y72" s="83"/>
    </row>
    <row r="73" spans="19:20" ht="12.75">
      <c r="S73" s="14">
        <v>100000000</v>
      </c>
      <c r="T73" s="14">
        <v>0</v>
      </c>
    </row>
    <row r="75" spans="19:20" ht="12.75">
      <c r="S75" s="17">
        <v>0</v>
      </c>
      <c r="T75">
        <v>0</v>
      </c>
    </row>
    <row r="76" spans="19:20" ht="12.75">
      <c r="S76" s="17">
        <v>23000.01</v>
      </c>
      <c r="T76">
        <v>10</v>
      </c>
    </row>
    <row r="77" spans="19:20" ht="12.75">
      <c r="S77" s="17">
        <v>24000.01</v>
      </c>
      <c r="T77">
        <v>20</v>
      </c>
    </row>
    <row r="78" spans="19:20" ht="12.75">
      <c r="S78" s="17">
        <v>25000.01</v>
      </c>
      <c r="T78">
        <v>30</v>
      </c>
    </row>
    <row r="79" spans="19:20" ht="12.75">
      <c r="S79" s="17">
        <v>26000.01</v>
      </c>
      <c r="T79">
        <v>40</v>
      </c>
    </row>
    <row r="80" spans="19:20" ht="12.75">
      <c r="S80" s="17">
        <v>27700.01</v>
      </c>
      <c r="T80">
        <v>25</v>
      </c>
    </row>
    <row r="81" spans="19:20" ht="12.75">
      <c r="S81" s="17">
        <v>28000.01</v>
      </c>
      <c r="T81">
        <v>0</v>
      </c>
    </row>
  </sheetData>
  <sheetProtection password="BE24" sheet="1" objects="1" scenarios="1" selectLockedCells="1"/>
  <mergeCells count="102">
    <mergeCell ref="E24:G24"/>
    <mergeCell ref="H24:J24"/>
    <mergeCell ref="A35:P35"/>
    <mergeCell ref="A58:P58"/>
    <mergeCell ref="A55:B55"/>
    <mergeCell ref="D55:G55"/>
    <mergeCell ref="H55:I55"/>
    <mergeCell ref="A57:C57"/>
    <mergeCell ref="D57:E57"/>
    <mergeCell ref="G57:H57"/>
    <mergeCell ref="A6:B6"/>
    <mergeCell ref="E13:G13"/>
    <mergeCell ref="H10:K10"/>
    <mergeCell ref="H18:K18"/>
    <mergeCell ref="H7:L7"/>
    <mergeCell ref="H8:K8"/>
    <mergeCell ref="C6:G6"/>
    <mergeCell ref="I6:K6"/>
    <mergeCell ref="H12:K12"/>
    <mergeCell ref="H13:K13"/>
    <mergeCell ref="AE1:AG2"/>
    <mergeCell ref="AE21:AG26"/>
    <mergeCell ref="AE4:AG4"/>
    <mergeCell ref="AE5:AG5"/>
    <mergeCell ref="AE3:AG3"/>
    <mergeCell ref="M25:O27"/>
    <mergeCell ref="A7:G7"/>
    <mergeCell ref="A20:P20"/>
    <mergeCell ref="E10:G10"/>
    <mergeCell ref="E11:G11"/>
    <mergeCell ref="E12:G12"/>
    <mergeCell ref="H9:K9"/>
    <mergeCell ref="E9:G9"/>
    <mergeCell ref="E8:G8"/>
    <mergeCell ref="P25:P27"/>
    <mergeCell ref="P33:P34"/>
    <mergeCell ref="A39:L39"/>
    <mergeCell ref="N52:O52"/>
    <mergeCell ref="O48:P48"/>
    <mergeCell ref="O46:P46"/>
    <mergeCell ref="I43:L43"/>
    <mergeCell ref="A41:L41"/>
    <mergeCell ref="A47:N47"/>
    <mergeCell ref="A48:N48"/>
    <mergeCell ref="A49:N49"/>
    <mergeCell ref="A54:D54"/>
    <mergeCell ref="A43:F43"/>
    <mergeCell ref="K44:N44"/>
    <mergeCell ref="H52:J52"/>
    <mergeCell ref="K53:L53"/>
    <mergeCell ref="H53:J53"/>
    <mergeCell ref="E52:G52"/>
    <mergeCell ref="A53:D53"/>
    <mergeCell ref="H54:J54"/>
    <mergeCell ref="A46:N46"/>
    <mergeCell ref="U59:U60"/>
    <mergeCell ref="A40:P40"/>
    <mergeCell ref="K54:L54"/>
    <mergeCell ref="O49:P49"/>
    <mergeCell ref="O47:P47"/>
    <mergeCell ref="K52:L52"/>
    <mergeCell ref="N53:O53"/>
    <mergeCell ref="N54:O54"/>
    <mergeCell ref="A42:P42"/>
    <mergeCell ref="A52:D52"/>
    <mergeCell ref="M6:P6"/>
    <mergeCell ref="R36:R37"/>
    <mergeCell ref="R40:R41"/>
    <mergeCell ref="S1:V1"/>
    <mergeCell ref="S12:W12"/>
    <mergeCell ref="S19:S57"/>
    <mergeCell ref="T19:T37"/>
    <mergeCell ref="T39:T42"/>
    <mergeCell ref="K33:O34"/>
    <mergeCell ref="N5:P5"/>
    <mergeCell ref="A1:P1"/>
    <mergeCell ref="A2:P2"/>
    <mergeCell ref="A3:P3"/>
    <mergeCell ref="D5:I5"/>
    <mergeCell ref="J5:L5"/>
    <mergeCell ref="J4:K4"/>
    <mergeCell ref="B4:G4"/>
    <mergeCell ref="H11:K11"/>
    <mergeCell ref="A15:D15"/>
    <mergeCell ref="E14:G14"/>
    <mergeCell ref="H14:K14"/>
    <mergeCell ref="H15:K15"/>
    <mergeCell ref="H16:K16"/>
    <mergeCell ref="H17:K17"/>
    <mergeCell ref="E15:G15"/>
    <mergeCell ref="A14:D14"/>
    <mergeCell ref="E17:G17"/>
    <mergeCell ref="A50:D50"/>
    <mergeCell ref="E50:F50"/>
    <mergeCell ref="A16:D16"/>
    <mergeCell ref="E16:G16"/>
    <mergeCell ref="A38:L38"/>
    <mergeCell ref="A37:L37"/>
    <mergeCell ref="A33:C33"/>
    <mergeCell ref="A21:C21"/>
    <mergeCell ref="A36:P36"/>
    <mergeCell ref="B24:D24"/>
  </mergeCells>
  <conditionalFormatting sqref="J27">
    <cfRule type="expression" priority="1" dxfId="0" stopIfTrue="1">
      <formula>$D$23&gt;2</formula>
    </cfRule>
  </conditionalFormatting>
  <conditionalFormatting sqref="J28">
    <cfRule type="expression" priority="2" dxfId="0" stopIfTrue="1">
      <formula>$D$23&gt;3</formula>
    </cfRule>
  </conditionalFormatting>
  <conditionalFormatting sqref="J29">
    <cfRule type="expression" priority="3" dxfId="0" stopIfTrue="1">
      <formula>$D$23&gt;4</formula>
    </cfRule>
  </conditionalFormatting>
  <conditionalFormatting sqref="J30">
    <cfRule type="expression" priority="4" dxfId="0" stopIfTrue="1">
      <formula>$D$23&gt;5</formula>
    </cfRule>
  </conditionalFormatting>
  <conditionalFormatting sqref="J31">
    <cfRule type="expression" priority="5" dxfId="0" stopIfTrue="1">
      <formula>$D$23&gt;6</formula>
    </cfRule>
  </conditionalFormatting>
  <conditionalFormatting sqref="L25">
    <cfRule type="expression" priority="6" dxfId="1" stopIfTrue="1">
      <formula>$D$23&gt;0</formula>
    </cfRule>
  </conditionalFormatting>
  <conditionalFormatting sqref="L26">
    <cfRule type="expression" priority="7" dxfId="1" stopIfTrue="1">
      <formula>$D$23&gt;1</formula>
    </cfRule>
  </conditionalFormatting>
  <conditionalFormatting sqref="L27">
    <cfRule type="expression" priority="8" dxfId="1" stopIfTrue="1">
      <formula>$D$23&gt;2</formula>
    </cfRule>
  </conditionalFormatting>
  <conditionalFormatting sqref="L28">
    <cfRule type="expression" priority="9" dxfId="1" stopIfTrue="1">
      <formula>$D$23&gt;3</formula>
    </cfRule>
  </conditionalFormatting>
  <conditionalFormatting sqref="L29">
    <cfRule type="expression" priority="10" dxfId="1" stopIfTrue="1">
      <formula>$D$23&gt;4</formula>
    </cfRule>
  </conditionalFormatting>
  <conditionalFormatting sqref="L30">
    <cfRule type="expression" priority="11" dxfId="1" stopIfTrue="1">
      <formula>$D$23&gt;5</formula>
    </cfRule>
  </conditionalFormatting>
  <conditionalFormatting sqref="L31">
    <cfRule type="expression" priority="12" dxfId="1" stopIfTrue="1">
      <formula>$D$23&gt;6</formula>
    </cfRule>
  </conditionalFormatting>
  <conditionalFormatting sqref="A26">
    <cfRule type="expression" priority="13" dxfId="2" stopIfTrue="1">
      <formula>$D$23&gt;1</formula>
    </cfRule>
  </conditionalFormatting>
  <conditionalFormatting sqref="A25 D25 G25 J25">
    <cfRule type="expression" priority="14" dxfId="2" stopIfTrue="1">
      <formula>$D$23&gt;0</formula>
    </cfRule>
  </conditionalFormatting>
  <conditionalFormatting sqref="B25">
    <cfRule type="expression" priority="15" dxfId="3" stopIfTrue="1">
      <formula>$D$23&gt;0</formula>
    </cfRule>
  </conditionalFormatting>
  <conditionalFormatting sqref="E25 H25">
    <cfRule type="expression" priority="16" dxfId="4" stopIfTrue="1">
      <formula>$D$23&gt;0</formula>
    </cfRule>
  </conditionalFormatting>
  <conditionalFormatting sqref="I21">
    <cfRule type="expression" priority="17" dxfId="5" stopIfTrue="1">
      <formula>$D$21="si"</formula>
    </cfRule>
  </conditionalFormatting>
  <conditionalFormatting sqref="N23 C25 F25 I25 K25">
    <cfRule type="expression" priority="18" dxfId="5" stopIfTrue="1">
      <formula>$D$23&gt;0</formula>
    </cfRule>
  </conditionalFormatting>
  <conditionalFormatting sqref="P23">
    <cfRule type="expression" priority="19" dxfId="5" stopIfTrue="1">
      <formula>$N$23&gt;0</formula>
    </cfRule>
  </conditionalFormatting>
  <conditionalFormatting sqref="C26 F26 I26 K26">
    <cfRule type="expression" priority="20" dxfId="5" stopIfTrue="1">
      <formula>$D$23&gt;1</formula>
    </cfRule>
  </conditionalFormatting>
  <conditionalFormatting sqref="C27 F27 I27 K27">
    <cfRule type="expression" priority="21" dxfId="5" stopIfTrue="1">
      <formula>$D$23&gt;2</formula>
    </cfRule>
  </conditionalFormatting>
  <conditionalFormatting sqref="C28 F28 I28 K28">
    <cfRule type="expression" priority="22" dxfId="5" stopIfTrue="1">
      <formula>$D$23&gt;3</formula>
    </cfRule>
  </conditionalFormatting>
  <conditionalFormatting sqref="C29 F29 I29 K29">
    <cfRule type="expression" priority="23" dxfId="5" stopIfTrue="1">
      <formula>$D$23&gt;4</formula>
    </cfRule>
  </conditionalFormatting>
  <conditionalFormatting sqref="C30 F30 I30 K30">
    <cfRule type="expression" priority="24" dxfId="5" stopIfTrue="1">
      <formula>$D$23&gt;5</formula>
    </cfRule>
  </conditionalFormatting>
  <conditionalFormatting sqref="C31 F31 I31 K31">
    <cfRule type="expression" priority="25" dxfId="5" stopIfTrue="1">
      <formula>$D$23&gt;6</formula>
    </cfRule>
  </conditionalFormatting>
  <conditionalFormatting sqref="I34">
    <cfRule type="expression" priority="26" dxfId="5" stopIfTrue="1">
      <formula>$D$33="si"</formula>
    </cfRule>
  </conditionalFormatting>
  <conditionalFormatting sqref="I33 P33:P34">
    <cfRule type="expression" priority="27" dxfId="5" stopIfTrue="1">
      <formula>$D$33&gt;0</formula>
    </cfRule>
  </conditionalFormatting>
  <conditionalFormatting sqref="K33:O34">
    <cfRule type="expression" priority="28" dxfId="1" stopIfTrue="1">
      <formula>$D$33&gt;0</formula>
    </cfRule>
  </conditionalFormatting>
  <conditionalFormatting sqref="B26 D26:E26 G26:H26 J26">
    <cfRule type="expression" priority="29" dxfId="3" stopIfTrue="1">
      <formula>$D$23&gt;1</formula>
    </cfRule>
  </conditionalFormatting>
  <conditionalFormatting sqref="B27 D27:E27 G27:H27">
    <cfRule type="expression" priority="30" dxfId="3" stopIfTrue="1">
      <formula>$D$23&gt;2</formula>
    </cfRule>
  </conditionalFormatting>
  <conditionalFormatting sqref="A27">
    <cfRule type="expression" priority="31" dxfId="2" stopIfTrue="1">
      <formula>$D$23&gt;2</formula>
    </cfRule>
  </conditionalFormatting>
  <conditionalFormatting sqref="A28">
    <cfRule type="expression" priority="32" dxfId="2" stopIfTrue="1">
      <formula>$D$23&gt;3</formula>
    </cfRule>
  </conditionalFormatting>
  <conditionalFormatting sqref="B28 D28:E28 G28:H28">
    <cfRule type="expression" priority="33" dxfId="3" stopIfTrue="1">
      <formula>$D$23&gt;3</formula>
    </cfRule>
  </conditionalFormatting>
  <conditionalFormatting sqref="A29">
    <cfRule type="expression" priority="34" dxfId="2" stopIfTrue="1">
      <formula>$D$23&gt;4</formula>
    </cfRule>
  </conditionalFormatting>
  <conditionalFormatting sqref="B29 D29:E29 G29:H29">
    <cfRule type="expression" priority="35" dxfId="3" stopIfTrue="1">
      <formula>$D$23&gt;4</formula>
    </cfRule>
  </conditionalFormatting>
  <conditionalFormatting sqref="A30">
    <cfRule type="expression" priority="36" dxfId="2" stopIfTrue="1">
      <formula>$D$23&gt;5</formula>
    </cfRule>
  </conditionalFormatting>
  <conditionalFormatting sqref="B30 D30:E30 G30:H30">
    <cfRule type="expression" priority="37" dxfId="3" stopIfTrue="1">
      <formula>$D$23&gt;5</formula>
    </cfRule>
  </conditionalFormatting>
  <conditionalFormatting sqref="A31">
    <cfRule type="expression" priority="38" dxfId="2" stopIfTrue="1">
      <formula>$D$23&gt;6</formula>
    </cfRule>
  </conditionalFormatting>
  <conditionalFormatting sqref="B31 D31:E31 G31:H31">
    <cfRule type="expression" priority="39" dxfId="3" stopIfTrue="1">
      <formula>$D$23&gt;6</formula>
    </cfRule>
  </conditionalFormatting>
  <printOptions/>
  <pageMargins left="0.1968503937007874" right="0" top="0.984251968503937" bottom="0.5905511811023623" header="0.5118110236220472" footer="0.5118110236220472"/>
  <pageSetup blackAndWhite="1" horizontalDpi="360" verticalDpi="360" orientation="portrait" paperSize="9" scale="9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27"/>
  <dimension ref="A1:BG124"/>
  <sheetViews>
    <sheetView workbookViewId="0" topLeftCell="A1">
      <selection activeCell="E8" sqref="E8:G8"/>
    </sheetView>
  </sheetViews>
  <sheetFormatPr defaultColWidth="9.33203125" defaultRowHeight="12.75"/>
  <cols>
    <col min="1" max="1" width="15.5" style="0" customWidth="1"/>
    <col min="2" max="10" width="4.83203125" style="0" customWidth="1"/>
    <col min="11" max="11" width="11.66015625" style="0" bestFit="1" customWidth="1"/>
    <col min="12" max="13" width="11.83203125" style="0" customWidth="1"/>
    <col min="14" max="14" width="4.83203125" style="0" customWidth="1"/>
    <col min="15" max="15" width="12.83203125" style="0" customWidth="1"/>
    <col min="16" max="16" width="9.16015625" style="0" customWidth="1"/>
    <col min="17" max="17" width="15.5" style="0" hidden="1" customWidth="1"/>
    <col min="18" max="26" width="4.83203125" style="0" hidden="1" customWidth="1"/>
    <col min="27" max="27" width="11.66015625" style="0" hidden="1" customWidth="1"/>
    <col min="28" max="29" width="11.83203125" style="0" hidden="1" customWidth="1"/>
    <col min="30" max="30" width="4.83203125" style="0" hidden="1" customWidth="1"/>
    <col min="31" max="31" width="12.83203125" style="0" hidden="1" customWidth="1"/>
    <col min="32" max="32" width="11" style="0" hidden="1" customWidth="1"/>
    <col min="33" max="33" width="5.16015625" style="0" hidden="1" customWidth="1"/>
    <col min="34" max="34" width="10.5" style="0" hidden="1" customWidth="1"/>
    <col min="35" max="35" width="15.16015625" style="0" hidden="1" customWidth="1"/>
    <col min="36" max="36" width="16.83203125" style="0" hidden="1" customWidth="1"/>
    <col min="37" max="37" width="6.66015625" style="0" hidden="1" customWidth="1"/>
    <col min="38" max="38" width="12.83203125" style="0" hidden="1" customWidth="1"/>
    <col min="39" max="39" width="11.5" style="0" hidden="1" customWidth="1"/>
    <col min="40" max="45" width="0" style="0" hidden="1" customWidth="1"/>
    <col min="46" max="46" width="3.66015625" style="0" customWidth="1"/>
    <col min="49" max="49" width="13.66015625" style="0" customWidth="1"/>
  </cols>
  <sheetData>
    <row r="1" spans="1:59" ht="16.5" thickTop="1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3"/>
      <c r="Q1" s="201" t="s">
        <v>0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3"/>
      <c r="AI1" s="185" t="s">
        <v>29</v>
      </c>
      <c r="AJ1" s="185"/>
      <c r="AK1" s="185"/>
      <c r="AL1" s="185"/>
      <c r="AM1" s="135" t="s">
        <v>68</v>
      </c>
      <c r="AT1" s="77"/>
      <c r="AU1" s="247" t="s">
        <v>84</v>
      </c>
      <c r="AV1" s="248"/>
      <c r="AW1" s="249"/>
      <c r="AX1" s="77"/>
      <c r="AY1" s="77"/>
      <c r="AZ1" s="77"/>
      <c r="BA1" s="77"/>
      <c r="BB1" s="77"/>
      <c r="BC1" s="77"/>
      <c r="BD1" s="77"/>
      <c r="BE1" s="77"/>
      <c r="BF1" s="77"/>
      <c r="BG1" s="77"/>
    </row>
    <row r="2" spans="1:59" ht="15.75">
      <c r="A2" s="350" t="str">
        <f>+Gen!A2</f>
        <v>TRIBUNALE DI TERMINI IMERESE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2"/>
      <c r="Q2" s="204" t="s">
        <v>1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6"/>
      <c r="AI2" s="5" t="s">
        <v>30</v>
      </c>
      <c r="AJ2" s="5" t="s">
        <v>31</v>
      </c>
      <c r="AK2" s="6" t="s">
        <v>18</v>
      </c>
      <c r="AL2" s="5" t="s">
        <v>37</v>
      </c>
      <c r="AN2" s="134"/>
      <c r="AT2" s="77"/>
      <c r="AU2" s="250"/>
      <c r="AV2" s="251"/>
      <c r="AW2" s="252"/>
      <c r="AX2" s="77"/>
      <c r="AY2" s="77"/>
      <c r="AZ2" s="77"/>
      <c r="BA2" s="77"/>
      <c r="BB2" s="77"/>
      <c r="BC2" s="77"/>
      <c r="BD2" s="77"/>
      <c r="BE2" s="77"/>
      <c r="BF2" s="77"/>
      <c r="BG2" s="77"/>
    </row>
    <row r="3" spans="1:59" ht="15.75">
      <c r="A3" s="207" t="s">
        <v>110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9"/>
      <c r="Q3" s="207" t="s">
        <v>85</v>
      </c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9"/>
      <c r="AI3" s="7">
        <v>1</v>
      </c>
      <c r="AJ3" s="7">
        <f>+Aliquote!C6</f>
        <v>15000</v>
      </c>
      <c r="AK3" s="8">
        <f>+Aliquote!D6</f>
        <v>0.23</v>
      </c>
      <c r="AL3" s="9"/>
      <c r="AT3" s="77"/>
      <c r="AU3" s="268"/>
      <c r="AV3" s="269"/>
      <c r="AW3" s="270"/>
      <c r="AX3" s="77"/>
      <c r="AY3" s="77"/>
      <c r="AZ3" s="77"/>
      <c r="BA3" s="77"/>
      <c r="BB3" s="77"/>
      <c r="BC3" s="77"/>
      <c r="BD3" s="77"/>
      <c r="BE3" s="77"/>
      <c r="BF3" s="77"/>
      <c r="BG3" s="77"/>
    </row>
    <row r="4" spans="1:59" ht="12.75" customHeight="1">
      <c r="A4" s="150" t="s">
        <v>138</v>
      </c>
      <c r="B4" s="163" t="str">
        <f>IF(Gen!B4&gt;0,Gen!B4,Vuota1)</f>
        <v>        </v>
      </c>
      <c r="C4" s="154"/>
      <c r="D4" s="154"/>
      <c r="E4" s="154"/>
      <c r="F4" s="154"/>
      <c r="G4" s="164"/>
      <c r="H4" s="58"/>
      <c r="I4" s="58"/>
      <c r="J4" s="345" t="s">
        <v>124</v>
      </c>
      <c r="K4" s="346"/>
      <c r="L4" s="149">
        <f>IF(Gen!L4&gt;0,Gen!L4,Vuota1)</f>
        <v>2007</v>
      </c>
      <c r="M4" s="20"/>
      <c r="N4" s="58"/>
      <c r="O4" s="58"/>
      <c r="P4" s="33"/>
      <c r="Q4" s="20"/>
      <c r="R4" s="58"/>
      <c r="S4" s="58"/>
      <c r="T4" s="58"/>
      <c r="U4" s="58"/>
      <c r="V4" s="58"/>
      <c r="W4" s="58"/>
      <c r="X4" s="58"/>
      <c r="Y4" s="58"/>
      <c r="Z4" s="213" t="s">
        <v>2</v>
      </c>
      <c r="AA4" s="213"/>
      <c r="AB4" s="2">
        <v>2007</v>
      </c>
      <c r="AC4" s="20"/>
      <c r="AD4" s="58"/>
      <c r="AE4" s="58"/>
      <c r="AF4" s="33"/>
      <c r="AI4" s="7">
        <f>+AJ3+0.01</f>
        <v>15000.01</v>
      </c>
      <c r="AJ4" s="7">
        <f>+Aliquote!C7</f>
        <v>28000</v>
      </c>
      <c r="AK4" s="8">
        <f>+Aliquote!D7</f>
        <v>0.27</v>
      </c>
      <c r="AL4" s="7">
        <f>ROUND(AI4*AK3,2)</f>
        <v>3450</v>
      </c>
      <c r="AT4" s="77"/>
      <c r="AU4" s="262" t="s">
        <v>81</v>
      </c>
      <c r="AV4" s="263"/>
      <c r="AW4" s="264"/>
      <c r="AX4" s="77"/>
      <c r="AY4" s="77"/>
      <c r="AZ4" s="77"/>
      <c r="BA4" s="77"/>
      <c r="BB4" s="77"/>
      <c r="BC4" s="77"/>
      <c r="BD4" s="77"/>
      <c r="BE4" s="77"/>
      <c r="BF4" s="77"/>
      <c r="BG4" s="77"/>
    </row>
    <row r="5" spans="1:59" ht="16.5" thickBot="1">
      <c r="A5" s="59" t="s">
        <v>3</v>
      </c>
      <c r="B5" s="60"/>
      <c r="C5" s="52" t="str">
        <f>IF(Gen!C5&gt;0,Gen!C5,Vuota1)</f>
        <v>C1</v>
      </c>
      <c r="D5" s="347" t="str">
        <f>IF(Gen!D5&gt;0,Gen!D5,Vuota1)</f>
        <v>        </v>
      </c>
      <c r="E5" s="348" t="e">
        <f>IF(#REF!&gt;0,#REF!,Vuota1)</f>
        <v>#REF!</v>
      </c>
      <c r="F5" s="348" t="e">
        <f>IF(#REF!&gt;0,#REF!,Vuota1)</f>
        <v>#REF!</v>
      </c>
      <c r="G5" s="348" t="e">
        <f>IF(#REF!&gt;0,#REF!,Vuota1)</f>
        <v>#REF!</v>
      </c>
      <c r="H5" s="348" t="e">
        <f>IF(#REF!&gt;0,#REF!,Vuota1)</f>
        <v>#REF!</v>
      </c>
      <c r="I5" s="348" t="e">
        <f>IF(#REF!&gt;0,#REF!,Vuota1)</f>
        <v>#REF!</v>
      </c>
      <c r="J5" s="348" t="str">
        <f>IF(Gen!J5&gt;0,Gen!J5,Vuota1)</f>
        <v>        </v>
      </c>
      <c r="K5" s="348" t="e">
        <f>IF(#REF!&gt;0,#REF!,Vuota1)</f>
        <v>#REF!</v>
      </c>
      <c r="L5" s="349" t="e">
        <f>IF(#REF!&gt;0,#REF!,Vuota1)</f>
        <v>#REF!</v>
      </c>
      <c r="M5" s="61" t="s">
        <v>5</v>
      </c>
      <c r="N5" s="163" t="str">
        <f>IF(Gen!N5&gt;0,Gen!N5,Vuota1)</f>
        <v>        </v>
      </c>
      <c r="O5" s="154" t="e">
        <f>IF(#REF!&gt;0,#REF!,Vuota1)</f>
        <v>#REF!</v>
      </c>
      <c r="P5" s="164" t="e">
        <f>IF(#REF!&gt;0,#REF!,Vuota1)</f>
        <v>#REF!</v>
      </c>
      <c r="Q5" s="59" t="s">
        <v>3</v>
      </c>
      <c r="R5" s="60"/>
      <c r="S5" s="2" t="s">
        <v>4</v>
      </c>
      <c r="T5" s="211"/>
      <c r="U5" s="211"/>
      <c r="V5" s="211"/>
      <c r="W5" s="211"/>
      <c r="X5" s="211"/>
      <c r="Y5" s="211"/>
      <c r="Z5" s="211"/>
      <c r="AA5" s="211"/>
      <c r="AB5" s="313"/>
      <c r="AC5" s="61" t="s">
        <v>5</v>
      </c>
      <c r="AD5" s="214"/>
      <c r="AE5" s="215"/>
      <c r="AF5" s="216"/>
      <c r="AH5" s="21"/>
      <c r="AI5" s="7">
        <f>+AJ4+0.01</f>
        <v>28000.01</v>
      </c>
      <c r="AJ5" s="7">
        <f>+Aliquote!C8</f>
        <v>55000</v>
      </c>
      <c r="AK5" s="8">
        <f>+Aliquote!D8</f>
        <v>0.38</v>
      </c>
      <c r="AL5" s="7">
        <f>ROUND((AI5-AI4)*AK4,2)+AL4</f>
        <v>6960</v>
      </c>
      <c r="AT5" s="77"/>
      <c r="AU5" s="265" t="s">
        <v>82</v>
      </c>
      <c r="AV5" s="266"/>
      <c r="AW5" s="267"/>
      <c r="AX5" s="77"/>
      <c r="AY5" s="77"/>
      <c r="AZ5" s="77"/>
      <c r="BA5" s="77"/>
      <c r="BB5" s="77"/>
      <c r="BC5" s="77"/>
      <c r="BD5" s="77"/>
      <c r="BE5" s="77"/>
      <c r="BF5" s="77"/>
      <c r="BG5" s="77"/>
    </row>
    <row r="6" spans="1:59" ht="12.75" customHeight="1" thickTop="1">
      <c r="A6" s="271" t="s">
        <v>6</v>
      </c>
      <c r="B6" s="272"/>
      <c r="C6" s="163" t="str">
        <f>IF(Gen!C6&gt;0,Gen!C6,Vuota1)</f>
        <v>        </v>
      </c>
      <c r="D6" s="213" t="e">
        <f>IF(#REF!&gt;0,#REF!,Vuota1)</f>
        <v>#REF!</v>
      </c>
      <c r="E6" s="213" t="e">
        <f>IF(#REF!&gt;0,#REF!,Vuota1)</f>
        <v>#REF!</v>
      </c>
      <c r="F6" s="213" t="e">
        <f>IF(#REF!&gt;0,#REF!,Vuota1)</f>
        <v>#REF!</v>
      </c>
      <c r="G6" s="359" t="e">
        <f>IF(#REF!&gt;0,#REF!,Vuota1)</f>
        <v>#REF!</v>
      </c>
      <c r="H6" s="60" t="s">
        <v>7</v>
      </c>
      <c r="I6" s="353" t="str">
        <f>IF(Gen!I6&gt;0,Gen!I6,Vuota1)</f>
        <v>        </v>
      </c>
      <c r="J6" s="354" t="e">
        <f>IF(#REF!&gt;0,#REF!,Vuota1)</f>
        <v>#REF!</v>
      </c>
      <c r="K6" s="355" t="e">
        <f>IF(#REF!&gt;0,#REF!,Vuota1)</f>
        <v>#REF!</v>
      </c>
      <c r="L6" s="48" t="s">
        <v>90</v>
      </c>
      <c r="M6" s="356" t="str">
        <f>IF(Gen!M6&gt;0,Gen!M6,Vuota1)</f>
        <v>        </v>
      </c>
      <c r="N6" s="357" t="e">
        <f>IF(#REF!&gt;0,#REF!,Vuota1)</f>
        <v>#REF!</v>
      </c>
      <c r="O6" s="357" t="e">
        <f>IF(#REF!&gt;0,#REF!,Vuota1)</f>
        <v>#REF!</v>
      </c>
      <c r="P6" s="358" t="e">
        <f>IF(#REF!&gt;0,#REF!,Vuota1)</f>
        <v>#REF!</v>
      </c>
      <c r="Q6" s="317"/>
      <c r="R6" s="318"/>
      <c r="S6" s="318"/>
      <c r="T6" s="302" t="s">
        <v>6</v>
      </c>
      <c r="U6" s="302"/>
      <c r="V6" s="214"/>
      <c r="W6" s="215"/>
      <c r="X6" s="215"/>
      <c r="Y6" s="215"/>
      <c r="Z6" s="216"/>
      <c r="AA6" s="60" t="s">
        <v>7</v>
      </c>
      <c r="AB6" s="300"/>
      <c r="AC6" s="301"/>
      <c r="AD6" s="20"/>
      <c r="AE6" s="20"/>
      <c r="AF6" s="62"/>
      <c r="AH6" s="21"/>
      <c r="AI6" s="7">
        <f>+AJ5+0.01</f>
        <v>55000.01</v>
      </c>
      <c r="AJ6" s="7">
        <f>+Aliquote!C9</f>
        <v>75000</v>
      </c>
      <c r="AK6" s="8">
        <f>+Aliquote!D9</f>
        <v>0.41</v>
      </c>
      <c r="AL6" s="7">
        <f>ROUND((AI6-AI5)*AK5,2)+AL5</f>
        <v>17220</v>
      </c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</row>
    <row r="7" spans="1:59" ht="12.75" customHeight="1">
      <c r="A7" s="239" t="s">
        <v>8</v>
      </c>
      <c r="B7" s="240"/>
      <c r="C7" s="240"/>
      <c r="D7" s="240"/>
      <c r="E7" s="240"/>
      <c r="F7" s="240"/>
      <c r="G7" s="240"/>
      <c r="H7" s="158" t="s">
        <v>9</v>
      </c>
      <c r="I7" s="158"/>
      <c r="J7" s="158"/>
      <c r="K7" s="158"/>
      <c r="L7" s="158"/>
      <c r="M7" s="20"/>
      <c r="N7" s="20"/>
      <c r="O7" s="20"/>
      <c r="P7" s="62"/>
      <c r="Q7" s="239" t="s">
        <v>8</v>
      </c>
      <c r="R7" s="240"/>
      <c r="S7" s="240"/>
      <c r="T7" s="240"/>
      <c r="U7" s="240"/>
      <c r="V7" s="240"/>
      <c r="W7" s="240"/>
      <c r="X7" s="158" t="s">
        <v>9</v>
      </c>
      <c r="Y7" s="158"/>
      <c r="Z7" s="158"/>
      <c r="AA7" s="158"/>
      <c r="AB7" s="158"/>
      <c r="AC7" s="20"/>
      <c r="AD7" s="20"/>
      <c r="AE7" s="20"/>
      <c r="AF7" s="62"/>
      <c r="AH7" s="21"/>
      <c r="AI7" s="7">
        <f>+AJ6+0.01</f>
        <v>75000.01</v>
      </c>
      <c r="AJ7" s="7">
        <v>1000000</v>
      </c>
      <c r="AK7" s="8">
        <f>+Aliquote!D10</f>
        <v>0.43</v>
      </c>
      <c r="AL7" s="7">
        <f>ROUND((AI7-AI6)*AK6,2)+AL6</f>
        <v>25420</v>
      </c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</row>
    <row r="8" spans="1:59" ht="12.75">
      <c r="A8" s="27" t="s">
        <v>78</v>
      </c>
      <c r="B8" s="29"/>
      <c r="C8" s="29"/>
      <c r="D8" s="23"/>
      <c r="E8" s="195"/>
      <c r="F8" s="196"/>
      <c r="G8" s="197"/>
      <c r="H8" s="273" t="s">
        <v>10</v>
      </c>
      <c r="I8" s="274"/>
      <c r="J8" s="274"/>
      <c r="K8" s="275"/>
      <c r="L8" s="1"/>
      <c r="M8" s="20"/>
      <c r="N8" s="20"/>
      <c r="O8" s="20"/>
      <c r="P8" s="62"/>
      <c r="Q8" s="27" t="s">
        <v>78</v>
      </c>
      <c r="R8" s="29"/>
      <c r="S8" s="29"/>
      <c r="T8" s="23"/>
      <c r="U8" s="195">
        <f aca="true" t="shared" si="0" ref="U8:U15">ROUND(E8*13,5)</f>
        <v>0</v>
      </c>
      <c r="V8" s="196"/>
      <c r="W8" s="197"/>
      <c r="X8" s="273" t="s">
        <v>10</v>
      </c>
      <c r="Y8" s="274"/>
      <c r="Z8" s="274"/>
      <c r="AA8" s="275"/>
      <c r="AB8" s="1">
        <f aca="true" t="shared" si="1" ref="AB8:AB17">ROUND(L8*13,5)</f>
        <v>0</v>
      </c>
      <c r="AC8" s="20"/>
      <c r="AD8" s="20"/>
      <c r="AE8" s="20"/>
      <c r="AF8" s="62"/>
      <c r="AH8" s="21"/>
      <c r="AI8" s="7">
        <f>+AJ7+0.01</f>
        <v>1000000.01</v>
      </c>
      <c r="AJ8" s="10">
        <v>2000000</v>
      </c>
      <c r="AK8" s="11">
        <f>+AK7</f>
        <v>0.43</v>
      </c>
      <c r="AL8" s="10">
        <f>ROUND((AI8-AI7)*AK7,2)+AL7</f>
        <v>423170</v>
      </c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</row>
    <row r="9" spans="1:59" ht="12.75">
      <c r="A9" s="27" t="s">
        <v>11</v>
      </c>
      <c r="B9" s="29"/>
      <c r="C9" s="29"/>
      <c r="D9" s="23"/>
      <c r="E9" s="195"/>
      <c r="F9" s="196"/>
      <c r="G9" s="197"/>
      <c r="H9" s="198" t="s">
        <v>111</v>
      </c>
      <c r="I9" s="199"/>
      <c r="J9" s="199"/>
      <c r="K9" s="200"/>
      <c r="L9" s="1"/>
      <c r="M9" s="20"/>
      <c r="N9" s="20"/>
      <c r="O9" s="20"/>
      <c r="P9" s="62"/>
      <c r="Q9" s="27" t="s">
        <v>11</v>
      </c>
      <c r="R9" s="29"/>
      <c r="S9" s="29"/>
      <c r="T9" s="23"/>
      <c r="U9" s="195">
        <f t="shared" si="0"/>
        <v>0</v>
      </c>
      <c r="V9" s="196"/>
      <c r="W9" s="197"/>
      <c r="X9" s="198" t="s">
        <v>111</v>
      </c>
      <c r="Y9" s="199"/>
      <c r="Z9" s="199"/>
      <c r="AA9" s="200"/>
      <c r="AB9" s="1">
        <f t="shared" si="1"/>
        <v>0</v>
      </c>
      <c r="AC9" s="20"/>
      <c r="AD9" s="20"/>
      <c r="AE9" s="25" t="s">
        <v>117</v>
      </c>
      <c r="AF9" s="62"/>
      <c r="AH9" s="22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</row>
    <row r="10" spans="1:59" ht="12.75">
      <c r="A10" s="27" t="s">
        <v>12</v>
      </c>
      <c r="B10" s="29"/>
      <c r="C10" s="29"/>
      <c r="D10" s="23"/>
      <c r="E10" s="195"/>
      <c r="F10" s="196"/>
      <c r="G10" s="197"/>
      <c r="H10" s="198" t="s">
        <v>112</v>
      </c>
      <c r="I10" s="199"/>
      <c r="J10" s="199"/>
      <c r="K10" s="200"/>
      <c r="L10" s="1"/>
      <c r="M10" s="20"/>
      <c r="N10" s="20"/>
      <c r="O10" s="20"/>
      <c r="P10" s="62"/>
      <c r="Q10" s="27" t="s">
        <v>12</v>
      </c>
      <c r="R10" s="29"/>
      <c r="S10" s="29"/>
      <c r="T10" s="23"/>
      <c r="U10" s="195">
        <f t="shared" si="0"/>
        <v>0</v>
      </c>
      <c r="V10" s="196"/>
      <c r="W10" s="197"/>
      <c r="X10" s="198" t="s">
        <v>112</v>
      </c>
      <c r="Y10" s="199"/>
      <c r="Z10" s="199"/>
      <c r="AA10" s="200"/>
      <c r="AB10" s="1">
        <f t="shared" si="1"/>
        <v>0</v>
      </c>
      <c r="AC10" s="20"/>
      <c r="AD10" s="20"/>
      <c r="AE10" s="145">
        <f>+Lordo-U12</f>
        <v>0</v>
      </c>
      <c r="AF10" s="62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</row>
    <row r="11" spans="1:59" ht="12.75">
      <c r="A11" s="27" t="s">
        <v>14</v>
      </c>
      <c r="B11" s="29"/>
      <c r="C11" s="29"/>
      <c r="D11" s="29"/>
      <c r="E11" s="195"/>
      <c r="F11" s="196"/>
      <c r="G11" s="197"/>
      <c r="H11" s="198" t="s">
        <v>113</v>
      </c>
      <c r="I11" s="199"/>
      <c r="J11" s="199"/>
      <c r="K11" s="200"/>
      <c r="L11" s="143">
        <f>ROUND((E10+E11)*(Aliquote!H9),2)</f>
        <v>0</v>
      </c>
      <c r="M11" s="20"/>
      <c r="N11" s="20"/>
      <c r="O11" s="20"/>
      <c r="P11" s="62"/>
      <c r="Q11" s="27" t="s">
        <v>14</v>
      </c>
      <c r="R11" s="29"/>
      <c r="S11" s="29"/>
      <c r="T11" s="29"/>
      <c r="U11" s="195">
        <f t="shared" si="0"/>
        <v>0</v>
      </c>
      <c r="V11" s="196"/>
      <c r="W11" s="197"/>
      <c r="X11" s="198" t="s">
        <v>113</v>
      </c>
      <c r="Y11" s="199"/>
      <c r="Z11" s="199"/>
      <c r="AA11" s="200"/>
      <c r="AB11" s="143">
        <f t="shared" si="1"/>
        <v>0</v>
      </c>
      <c r="AC11" s="20"/>
      <c r="AD11" s="20"/>
      <c r="AE11" s="20"/>
      <c r="AF11" s="62"/>
      <c r="AH11" s="85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</row>
    <row r="12" spans="1:59" ht="12.75">
      <c r="A12" s="27"/>
      <c r="B12" s="29"/>
      <c r="C12" s="29"/>
      <c r="D12" s="23"/>
      <c r="E12" s="404"/>
      <c r="F12" s="405"/>
      <c r="G12" s="406"/>
      <c r="H12" s="198" t="s">
        <v>114</v>
      </c>
      <c r="I12" s="199"/>
      <c r="J12" s="199"/>
      <c r="K12" s="200"/>
      <c r="L12" s="144">
        <f>ROUND((E10+E11)*(Aliquote!I9),2)</f>
        <v>0</v>
      </c>
      <c r="M12" s="20"/>
      <c r="N12" s="20"/>
      <c r="O12" s="20"/>
      <c r="P12" s="62"/>
      <c r="Q12" s="27" t="s">
        <v>16</v>
      </c>
      <c r="R12" s="29"/>
      <c r="S12" s="29"/>
      <c r="T12" s="23"/>
      <c r="U12" s="195">
        <f t="shared" si="0"/>
        <v>0</v>
      </c>
      <c r="V12" s="196"/>
      <c r="W12" s="197"/>
      <c r="X12" s="198" t="s">
        <v>114</v>
      </c>
      <c r="Y12" s="199"/>
      <c r="Z12" s="199"/>
      <c r="AA12" s="200"/>
      <c r="AB12" s="143">
        <f t="shared" si="1"/>
        <v>0</v>
      </c>
      <c r="AC12" s="91"/>
      <c r="AD12" s="20"/>
      <c r="AE12" s="20"/>
      <c r="AF12" s="62"/>
      <c r="AH12" s="85"/>
      <c r="AI12" s="186" t="s">
        <v>32</v>
      </c>
      <c r="AJ12" s="186"/>
      <c r="AK12" s="186"/>
      <c r="AL12" s="186"/>
      <c r="AM12" s="186"/>
      <c r="AN12" t="s">
        <v>44</v>
      </c>
      <c r="AO12" t="s">
        <v>43</v>
      </c>
      <c r="AT12" s="77"/>
      <c r="AU12" s="78"/>
      <c r="AV12" s="78"/>
      <c r="AW12" s="78"/>
      <c r="AX12" s="77"/>
      <c r="AY12" s="77"/>
      <c r="AZ12" s="77"/>
      <c r="BA12" s="77"/>
      <c r="BB12" s="77"/>
      <c r="BC12" s="77"/>
      <c r="BD12" s="77"/>
      <c r="BE12" s="77"/>
      <c r="BF12" s="77"/>
      <c r="BG12" s="77"/>
    </row>
    <row r="13" spans="1:59" ht="12.75">
      <c r="A13" s="27" t="s">
        <v>17</v>
      </c>
      <c r="B13" s="29"/>
      <c r="C13" s="29"/>
      <c r="D13" s="23"/>
      <c r="E13" s="195"/>
      <c r="F13" s="196"/>
      <c r="G13" s="197"/>
      <c r="H13" s="198"/>
      <c r="I13" s="199"/>
      <c r="J13" s="199"/>
      <c r="K13" s="200"/>
      <c r="L13" s="143"/>
      <c r="M13" s="20"/>
      <c r="N13" s="20"/>
      <c r="O13" s="20"/>
      <c r="P13" s="62"/>
      <c r="Q13" s="27" t="s">
        <v>17</v>
      </c>
      <c r="R13" s="29"/>
      <c r="S13" s="29"/>
      <c r="T13" s="23"/>
      <c r="U13" s="195">
        <f t="shared" si="0"/>
        <v>0</v>
      </c>
      <c r="V13" s="196"/>
      <c r="W13" s="197"/>
      <c r="X13" s="198" t="s">
        <v>115</v>
      </c>
      <c r="Y13" s="199"/>
      <c r="Z13" s="199"/>
      <c r="AA13" s="200"/>
      <c r="AB13" s="143">
        <f t="shared" si="1"/>
        <v>0</v>
      </c>
      <c r="AC13" s="20"/>
      <c r="AD13" s="20"/>
      <c r="AE13" s="91"/>
      <c r="AF13" s="62"/>
      <c r="AH13" s="85"/>
      <c r="AI13" s="4" t="s">
        <v>33</v>
      </c>
      <c r="AJ13" s="107">
        <v>80000</v>
      </c>
      <c r="AK13" s="4"/>
      <c r="AL13" s="107">
        <v>800</v>
      </c>
      <c r="AM13" s="107">
        <v>690</v>
      </c>
      <c r="AN13" s="87">
        <v>110</v>
      </c>
      <c r="AO13" s="87">
        <f>ROUND(Redd_Detraz/AJ19,4)</f>
        <v>0</v>
      </c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</row>
    <row r="14" spans="1:59" ht="12.75">
      <c r="A14" s="192" t="s">
        <v>108</v>
      </c>
      <c r="B14" s="193"/>
      <c r="C14" s="193"/>
      <c r="D14" s="194"/>
      <c r="E14" s="195"/>
      <c r="F14" s="196"/>
      <c r="G14" s="197"/>
      <c r="H14" s="198" t="s">
        <v>116</v>
      </c>
      <c r="I14" s="199"/>
      <c r="J14" s="199"/>
      <c r="K14" s="200"/>
      <c r="L14" s="143">
        <f>ROUND(E13*80%*(Aliquote!$G$9)+E13*(Aliquote!$H$9+Aliquote!$I$9),5)</f>
        <v>0</v>
      </c>
      <c r="M14" s="20"/>
      <c r="N14" s="20"/>
      <c r="O14" s="20"/>
      <c r="P14" s="62"/>
      <c r="Q14" s="26" t="s">
        <v>13</v>
      </c>
      <c r="R14" s="30"/>
      <c r="S14" s="30"/>
      <c r="T14" s="24"/>
      <c r="U14" s="195">
        <f t="shared" si="0"/>
        <v>0</v>
      </c>
      <c r="V14" s="196"/>
      <c r="W14" s="197"/>
      <c r="X14" s="198" t="s">
        <v>116</v>
      </c>
      <c r="Y14" s="199"/>
      <c r="Z14" s="199"/>
      <c r="AA14" s="200"/>
      <c r="AB14" s="143">
        <f t="shared" si="1"/>
        <v>0</v>
      </c>
      <c r="AC14" s="20"/>
      <c r="AD14" s="20"/>
      <c r="AE14" s="20"/>
      <c r="AF14" s="62"/>
      <c r="AH14" s="85"/>
      <c r="AI14" s="4" t="s">
        <v>34</v>
      </c>
      <c r="AJ14" s="107">
        <v>95000</v>
      </c>
      <c r="AK14" s="4"/>
      <c r="AL14" s="107">
        <v>800</v>
      </c>
      <c r="AO14" s="77">
        <f>ROUND((Coniuge-Redd_Detraz)/AJ38,4)</f>
        <v>2</v>
      </c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</row>
    <row r="15" spans="1:59" ht="12.75">
      <c r="A15" s="192" t="s">
        <v>109</v>
      </c>
      <c r="B15" s="193"/>
      <c r="C15" s="193"/>
      <c r="D15" s="194"/>
      <c r="E15" s="195"/>
      <c r="F15" s="196"/>
      <c r="G15" s="197"/>
      <c r="H15" s="192" t="s">
        <v>149</v>
      </c>
      <c r="I15" s="193"/>
      <c r="J15" s="193"/>
      <c r="K15" s="194"/>
      <c r="L15" s="143">
        <f>ROUND(E14*80%*(Aliquote!$G$9)+E14*(Aliquote!$H$9+Aliquote!$I$9),5)</f>
        <v>0</v>
      </c>
      <c r="M15" s="20"/>
      <c r="N15" s="20"/>
      <c r="O15" s="20"/>
      <c r="P15" s="62"/>
      <c r="Q15" s="26" t="s">
        <v>13</v>
      </c>
      <c r="R15" s="30"/>
      <c r="S15" s="30"/>
      <c r="T15" s="24"/>
      <c r="U15" s="195">
        <f t="shared" si="0"/>
        <v>0</v>
      </c>
      <c r="V15" s="196"/>
      <c r="W15" s="197"/>
      <c r="X15" s="192" t="s">
        <v>13</v>
      </c>
      <c r="Y15" s="193"/>
      <c r="Z15" s="193"/>
      <c r="AA15" s="194"/>
      <c r="AB15" s="143">
        <f t="shared" si="1"/>
        <v>0</v>
      </c>
      <c r="AC15" s="20"/>
      <c r="AD15" s="20"/>
      <c r="AE15" s="25" t="s">
        <v>93</v>
      </c>
      <c r="AF15" s="62"/>
      <c r="AH15" s="85"/>
      <c r="AI15" s="4" t="s">
        <v>35</v>
      </c>
      <c r="AJ15" s="107">
        <v>55000</v>
      </c>
      <c r="AK15" s="4"/>
      <c r="AL15" s="107">
        <v>1338</v>
      </c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</row>
    <row r="16" spans="1:59" ht="12.75">
      <c r="A16" s="192" t="s">
        <v>148</v>
      </c>
      <c r="B16" s="193"/>
      <c r="C16" s="193"/>
      <c r="D16" s="194"/>
      <c r="E16" s="195"/>
      <c r="F16" s="196"/>
      <c r="G16" s="197"/>
      <c r="H16" s="192" t="s">
        <v>150</v>
      </c>
      <c r="I16" s="193"/>
      <c r="J16" s="193"/>
      <c r="K16" s="194"/>
      <c r="L16" s="144">
        <f>ROUND(E15*(Aliquote!$H$9+Aliquote!$I$9),5)</f>
        <v>0</v>
      </c>
      <c r="M16" s="20"/>
      <c r="N16" s="20"/>
      <c r="O16" s="20"/>
      <c r="P16" s="62"/>
      <c r="Q16" s="192" t="s">
        <v>57</v>
      </c>
      <c r="R16" s="193"/>
      <c r="S16" s="193"/>
      <c r="T16" s="194"/>
      <c r="U16" s="195"/>
      <c r="V16" s="196"/>
      <c r="W16" s="197"/>
      <c r="X16" s="192" t="s">
        <v>13</v>
      </c>
      <c r="Y16" s="193"/>
      <c r="Z16" s="193"/>
      <c r="AA16" s="194"/>
      <c r="AB16" s="143">
        <f t="shared" si="1"/>
        <v>0</v>
      </c>
      <c r="AC16" s="298"/>
      <c r="AD16" s="299"/>
      <c r="AE16" s="146">
        <f>IF(O46&gt;E12,ROUND((O46-E12)*12,2),0)</f>
        <v>0</v>
      </c>
      <c r="AF16" s="62"/>
      <c r="AH16" s="85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</row>
    <row r="17" spans="1:59" ht="12.75">
      <c r="A17" s="163" t="s">
        <v>15</v>
      </c>
      <c r="B17" s="154"/>
      <c r="C17" s="154"/>
      <c r="D17" s="164"/>
      <c r="E17" s="175">
        <f>SUM(E8:G16)</f>
        <v>0</v>
      </c>
      <c r="F17" s="219"/>
      <c r="G17" s="176"/>
      <c r="H17" s="192" t="s">
        <v>148</v>
      </c>
      <c r="I17" s="193"/>
      <c r="J17" s="193"/>
      <c r="K17" s="194"/>
      <c r="L17" s="189"/>
      <c r="M17" s="20"/>
      <c r="N17" s="20"/>
      <c r="O17" s="20"/>
      <c r="P17" s="62"/>
      <c r="Q17" s="31" t="s">
        <v>15</v>
      </c>
      <c r="R17" s="28"/>
      <c r="S17" s="28"/>
      <c r="T17" s="32"/>
      <c r="U17" s="175">
        <f>SUM(U8:W16)</f>
        <v>0</v>
      </c>
      <c r="V17" s="219"/>
      <c r="W17" s="176"/>
      <c r="X17" s="192" t="s">
        <v>57</v>
      </c>
      <c r="Y17" s="193"/>
      <c r="Z17" s="193"/>
      <c r="AA17" s="194"/>
      <c r="AB17" s="143">
        <f t="shared" si="1"/>
        <v>0</v>
      </c>
      <c r="AC17" s="160"/>
      <c r="AD17" s="160"/>
      <c r="AE17" s="147"/>
      <c r="AF17" s="62"/>
      <c r="AH17" s="85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</row>
    <row r="18" spans="1:59" ht="13.5" thickBot="1">
      <c r="A18" s="57"/>
      <c r="B18" s="20"/>
      <c r="C18" s="20"/>
      <c r="D18" s="20"/>
      <c r="E18" s="20"/>
      <c r="F18" s="20"/>
      <c r="G18" s="20"/>
      <c r="H18" s="163" t="s">
        <v>15</v>
      </c>
      <c r="I18" s="154"/>
      <c r="J18" s="154"/>
      <c r="K18" s="164"/>
      <c r="L18" s="3">
        <f>SUM(L8:L17)</f>
        <v>0</v>
      </c>
      <c r="M18" s="20"/>
      <c r="N18" s="20"/>
      <c r="O18" s="20"/>
      <c r="P18" s="62"/>
      <c r="Q18" s="57"/>
      <c r="R18" s="20"/>
      <c r="S18" s="20"/>
      <c r="T18" s="20"/>
      <c r="U18" s="20"/>
      <c r="V18" s="20"/>
      <c r="W18" s="20"/>
      <c r="X18" s="31" t="s">
        <v>15</v>
      </c>
      <c r="Y18" s="28"/>
      <c r="Z18" s="28"/>
      <c r="AA18" s="32"/>
      <c r="AB18" s="3">
        <f>SUM(AB8:AB17)</f>
        <v>0</v>
      </c>
      <c r="AC18" s="136"/>
      <c r="AD18" s="136" t="s">
        <v>139</v>
      </c>
      <c r="AE18" s="147"/>
      <c r="AF18" s="151">
        <f>ROUND(E12*12,5)</f>
        <v>0</v>
      </c>
      <c r="AH18" s="85"/>
      <c r="AI18" s="4" t="s">
        <v>38</v>
      </c>
      <c r="AJ18" s="110" t="s">
        <v>39</v>
      </c>
      <c r="AK18" s="77"/>
      <c r="AL18" s="111" t="s">
        <v>45</v>
      </c>
      <c r="AM18" s="111" t="s">
        <v>40</v>
      </c>
      <c r="AO18">
        <f>IF(AP18&gt;0,1,0)</f>
        <v>0</v>
      </c>
      <c r="AP18" s="87"/>
      <c r="AQ18" s="87">
        <v>700</v>
      </c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</row>
    <row r="19" spans="1:59" ht="13.5" customHeight="1" hidden="1" thickBot="1">
      <c r="A19" s="79"/>
      <c r="B19" s="25"/>
      <c r="C19" s="25"/>
      <c r="D19" s="25"/>
      <c r="E19" s="25"/>
      <c r="F19" s="25"/>
      <c r="G19" s="25"/>
      <c r="H19" s="20"/>
      <c r="I19" s="20"/>
      <c r="J19" s="20"/>
      <c r="K19" s="20"/>
      <c r="L19" s="20"/>
      <c r="M19" s="20"/>
      <c r="N19" s="20"/>
      <c r="O19" s="20"/>
      <c r="P19" s="62"/>
      <c r="Q19" s="79"/>
      <c r="R19" s="25"/>
      <c r="S19" s="25"/>
      <c r="T19" s="25"/>
      <c r="U19" s="25"/>
      <c r="V19" s="25"/>
      <c r="W19" s="25"/>
      <c r="X19" s="20"/>
      <c r="Y19" s="20"/>
      <c r="Z19" s="20"/>
      <c r="AA19" s="20"/>
      <c r="AB19" s="20"/>
      <c r="AC19" s="136"/>
      <c r="AD19" s="20"/>
      <c r="AE19" s="148"/>
      <c r="AF19" s="62"/>
      <c r="AI19" s="315" t="s">
        <v>33</v>
      </c>
      <c r="AJ19" s="316">
        <v>15000</v>
      </c>
      <c r="AK19" s="77"/>
      <c r="AL19" s="118">
        <v>0</v>
      </c>
      <c r="AM19" s="127">
        <v>0</v>
      </c>
      <c r="AO19">
        <f>IF(AP19&gt;0,1,0)</f>
        <v>0</v>
      </c>
      <c r="AP19" s="87"/>
      <c r="AQ19" s="87">
        <v>500</v>
      </c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</row>
    <row r="20" spans="1:59" ht="15.75">
      <c r="A20" s="241" t="s">
        <v>66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3"/>
      <c r="Q20" s="241" t="s">
        <v>66</v>
      </c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3"/>
      <c r="AI20" s="315"/>
      <c r="AJ20" s="316"/>
      <c r="AK20" s="77"/>
      <c r="AL20" s="128"/>
      <c r="AM20" s="129"/>
      <c r="AP20" s="87"/>
      <c r="AQ20" s="8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</row>
    <row r="21" spans="1:59" ht="12.75">
      <c r="A21" s="289" t="s">
        <v>33</v>
      </c>
      <c r="B21" s="289"/>
      <c r="C21" s="289"/>
      <c r="D21" s="2"/>
      <c r="E21" s="25"/>
      <c r="F21" s="63"/>
      <c r="G21" s="63"/>
      <c r="H21" s="63"/>
      <c r="I21" s="45"/>
      <c r="J21" s="20"/>
      <c r="K21" s="20"/>
      <c r="L21" s="20"/>
      <c r="M21" s="20"/>
      <c r="N21" s="20"/>
      <c r="O21" s="20"/>
      <c r="P21" s="62"/>
      <c r="Q21" s="289" t="s">
        <v>33</v>
      </c>
      <c r="R21" s="289"/>
      <c r="S21" s="289"/>
      <c r="T21" s="2">
        <f>+D21</f>
        <v>0</v>
      </c>
      <c r="U21" s="25"/>
      <c r="V21" s="63" t="str">
        <f>IF(CNG="Si","Mesi a carico",Vuota1)</f>
        <v>        </v>
      </c>
      <c r="W21" s="63"/>
      <c r="X21" s="63"/>
      <c r="Y21" s="45">
        <v>12</v>
      </c>
      <c r="Z21" s="20"/>
      <c r="AA21" s="20"/>
      <c r="AB21" s="20"/>
      <c r="AC21" s="20"/>
      <c r="AD21" s="20"/>
      <c r="AE21" s="20"/>
      <c r="AF21" s="62"/>
      <c r="AI21" s="315"/>
      <c r="AJ21" s="316"/>
      <c r="AK21" s="77"/>
      <c r="AL21" s="128"/>
      <c r="AM21" s="129"/>
      <c r="AP21" s="87"/>
      <c r="AQ21" s="87"/>
      <c r="AT21" s="77"/>
      <c r="AU21" s="303" t="s">
        <v>83</v>
      </c>
      <c r="AV21" s="304"/>
      <c r="AW21" s="305"/>
      <c r="AX21" s="77"/>
      <c r="AY21" s="77"/>
      <c r="AZ21" s="77"/>
      <c r="BA21" s="77"/>
      <c r="BB21" s="77"/>
      <c r="BC21" s="77"/>
      <c r="BD21" s="77"/>
      <c r="BE21" s="77"/>
      <c r="BF21" s="77"/>
      <c r="BG21" s="77"/>
    </row>
    <row r="22" spans="1:59" ht="12.75">
      <c r="A22" s="64"/>
      <c r="B22" s="63"/>
      <c r="C22" s="48"/>
      <c r="D22" s="20"/>
      <c r="E22" s="25"/>
      <c r="F22" s="63"/>
      <c r="G22" s="63"/>
      <c r="H22" s="63"/>
      <c r="I22" s="20"/>
      <c r="J22" s="20"/>
      <c r="K22" s="20"/>
      <c r="L22" s="20"/>
      <c r="M22" s="20"/>
      <c r="N22" s="20"/>
      <c r="O22" s="20"/>
      <c r="P22" s="62"/>
      <c r="Q22" s="64"/>
      <c r="R22" s="63"/>
      <c r="S22" s="48"/>
      <c r="T22" s="20"/>
      <c r="U22" s="25"/>
      <c r="V22" s="63"/>
      <c r="W22" s="63"/>
      <c r="X22" s="63"/>
      <c r="Y22" s="20"/>
      <c r="Z22" s="20"/>
      <c r="AA22" s="20"/>
      <c r="AB22" s="20"/>
      <c r="AC22" s="20"/>
      <c r="AD22" s="20"/>
      <c r="AE22" s="20"/>
      <c r="AF22" s="62"/>
      <c r="AI22" s="315"/>
      <c r="AJ22" s="316"/>
      <c r="AK22" s="77"/>
      <c r="AL22" s="128"/>
      <c r="AM22" s="129"/>
      <c r="AP22" s="87"/>
      <c r="AQ22" s="87"/>
      <c r="AT22" s="77"/>
      <c r="AU22" s="306"/>
      <c r="AV22" s="257"/>
      <c r="AW22" s="307"/>
      <c r="AX22" s="77"/>
      <c r="AY22" s="77"/>
      <c r="AZ22" s="77"/>
      <c r="BA22" s="77"/>
      <c r="BB22" s="77"/>
      <c r="BC22" s="77"/>
      <c r="BD22" s="77"/>
      <c r="BE22" s="77"/>
      <c r="BF22" s="77"/>
      <c r="BG22" s="77"/>
    </row>
    <row r="23" spans="1:59" ht="12.75">
      <c r="A23" s="54" t="s">
        <v>67</v>
      </c>
      <c r="B23" s="55"/>
      <c r="C23" s="56"/>
      <c r="D23" s="49"/>
      <c r="E23" s="20"/>
      <c r="F23" s="63" t="str">
        <f>IF(N_Fgl&gt;0,"Se il 1° figlio è in assenza del coniuge barrare la casella &gt;&gt;&gt;&gt;",Vuota1)</f>
        <v>        </v>
      </c>
      <c r="G23" s="63"/>
      <c r="H23" s="63"/>
      <c r="I23" s="20"/>
      <c r="J23" s="25"/>
      <c r="K23" s="20"/>
      <c r="L23" s="20"/>
      <c r="M23" s="20"/>
      <c r="N23" s="43"/>
      <c r="O23" s="63"/>
      <c r="P23" s="65"/>
      <c r="Q23" s="54" t="s">
        <v>67</v>
      </c>
      <c r="R23" s="55"/>
      <c r="S23" s="56"/>
      <c r="T23" s="49">
        <f>+D23</f>
        <v>0</v>
      </c>
      <c r="U23" s="20"/>
      <c r="V23" s="63" t="str">
        <f>IF(N_Fgl&gt;0,"Se il 1° figlio è in assenza delconiuge barrare la casella &gt;&gt;&gt;&gt;",Vuota1)</f>
        <v>        </v>
      </c>
      <c r="W23" s="63"/>
      <c r="X23" s="63"/>
      <c r="Y23" s="20"/>
      <c r="Z23" s="25"/>
      <c r="AA23" s="20"/>
      <c r="AB23" s="20"/>
      <c r="AC23" s="20"/>
      <c r="AD23" s="44">
        <f>+N23</f>
        <v>0</v>
      </c>
      <c r="AE23" s="63" t="str">
        <f>IF(AD23&gt;0,"Mesi a carico",Vuota1)</f>
        <v>        </v>
      </c>
      <c r="AF23" s="65"/>
      <c r="AI23" s="315"/>
      <c r="AJ23" s="316"/>
      <c r="AK23" s="77"/>
      <c r="AL23" s="128"/>
      <c r="AM23" s="129"/>
      <c r="AP23" s="87"/>
      <c r="AQ23" s="87"/>
      <c r="AT23" s="77"/>
      <c r="AU23" s="306"/>
      <c r="AV23" s="257"/>
      <c r="AW23" s="307"/>
      <c r="AX23" s="77"/>
      <c r="AY23" s="77"/>
      <c r="AZ23" s="77"/>
      <c r="BA23" s="77"/>
      <c r="BB23" s="77"/>
      <c r="BC23" s="77"/>
      <c r="BD23" s="77"/>
      <c r="BE23" s="77"/>
      <c r="BF23" s="77"/>
      <c r="BG23" s="77"/>
    </row>
    <row r="24" spans="1:59" ht="12.75" customHeight="1">
      <c r="A24" s="47"/>
      <c r="B24" s="239" t="s">
        <v>64</v>
      </c>
      <c r="C24" s="240"/>
      <c r="D24" s="293"/>
      <c r="E24" s="294" t="s">
        <v>65</v>
      </c>
      <c r="F24" s="295"/>
      <c r="G24" s="293"/>
      <c r="H24" s="294" t="s">
        <v>59</v>
      </c>
      <c r="I24" s="295"/>
      <c r="J24" s="293"/>
      <c r="K24" s="48"/>
      <c r="L24" s="63"/>
      <c r="M24" s="20"/>
      <c r="N24" s="20"/>
      <c r="O24" s="20"/>
      <c r="P24" s="62"/>
      <c r="Q24" s="47"/>
      <c r="R24" s="239" t="s">
        <v>64</v>
      </c>
      <c r="S24" s="240"/>
      <c r="T24" s="293"/>
      <c r="U24" s="294" t="s">
        <v>65</v>
      </c>
      <c r="V24" s="295"/>
      <c r="W24" s="293"/>
      <c r="X24" s="294" t="s">
        <v>59</v>
      </c>
      <c r="Y24" s="295"/>
      <c r="Z24" s="293"/>
      <c r="AA24" s="42" t="s">
        <v>80</v>
      </c>
      <c r="AB24" s="63"/>
      <c r="AC24" s="20"/>
      <c r="AD24" s="20"/>
      <c r="AE24" s="20"/>
      <c r="AF24" s="62"/>
      <c r="AI24" s="315"/>
      <c r="AJ24" s="316"/>
      <c r="AK24" s="77"/>
      <c r="AL24" s="128"/>
      <c r="AM24" s="129"/>
      <c r="AP24" s="87"/>
      <c r="AQ24" s="87"/>
      <c r="AT24" s="77"/>
      <c r="AU24" s="306"/>
      <c r="AV24" s="257"/>
      <c r="AW24" s="307"/>
      <c r="AX24" s="77"/>
      <c r="AY24" s="77"/>
      <c r="AZ24" s="77"/>
      <c r="BA24" s="77"/>
      <c r="BB24" s="77"/>
      <c r="BC24" s="77"/>
      <c r="BD24" s="77"/>
      <c r="BE24" s="77"/>
      <c r="BF24" s="77"/>
      <c r="BG24" s="77"/>
    </row>
    <row r="25" spans="1:59" ht="12.75" customHeight="1">
      <c r="A25" s="64" t="str">
        <f>IF(N_Fgl&gt;0,"1° figlio",Vuota1)</f>
        <v>        </v>
      </c>
      <c r="B25" s="63"/>
      <c r="C25" s="43"/>
      <c r="D25" s="63"/>
      <c r="E25" s="63"/>
      <c r="F25" s="43"/>
      <c r="G25" s="63"/>
      <c r="H25" s="63"/>
      <c r="I25" s="43"/>
      <c r="J25" s="63"/>
      <c r="K25" s="63"/>
      <c r="L25" s="66" t="str">
        <f>IF($D$23&gt;0,ROUND(AB25/12,2),Vuota1)</f>
        <v>        </v>
      </c>
      <c r="M25" s="231" t="s">
        <v>69</v>
      </c>
      <c r="N25" s="232"/>
      <c r="O25" s="233"/>
      <c r="P25" s="244">
        <v>1</v>
      </c>
      <c r="Q25" s="64" t="str">
        <f>IF(N_Fgl&gt;0,"1° figlio",Vuota1)</f>
        <v>        </v>
      </c>
      <c r="R25" s="63"/>
      <c r="S25" s="43">
        <f aca="true" t="shared" si="2" ref="S25:S31">+C25</f>
        <v>0</v>
      </c>
      <c r="T25" s="63"/>
      <c r="U25" s="63"/>
      <c r="V25" s="43">
        <f aca="true" t="shared" si="3" ref="V25:V31">+F25</f>
        <v>0</v>
      </c>
      <c r="W25" s="63"/>
      <c r="X25" s="63"/>
      <c r="Y25" s="43">
        <f aca="true" t="shared" si="4" ref="Y25:Y31">+I25</f>
        <v>0</v>
      </c>
      <c r="Z25" s="63"/>
      <c r="AA25" s="43"/>
      <c r="AB25" s="66" t="str">
        <f>IF(N_Fgl&gt;0,IF(AD23&gt;0,AH27,ROUND(dsfig*Percm,2)+IF($V$25&gt;0,ROUND((dsfg3-dsfig)*Percm,2),0)+IF($Y$25&gt;0,ROUND(dsfhc*Percm,2),0)),Vuota1)</f>
        <v>        </v>
      </c>
      <c r="AC25" s="231" t="s">
        <v>69</v>
      </c>
      <c r="AD25" s="232"/>
      <c r="AE25" s="233"/>
      <c r="AF25" s="244">
        <f>+P25</f>
        <v>1</v>
      </c>
      <c r="AH25" s="106">
        <f>ROUND(dsfig,5)+IF($V$25&gt;0,ROUND(dsfg3-dsfig,5),0)+IF($Y$25&gt;0,ROUND(dsfhc,5),0)</f>
        <v>0</v>
      </c>
      <c r="AI25" s="315"/>
      <c r="AJ25" s="316"/>
      <c r="AK25" s="77"/>
      <c r="AL25" s="128"/>
      <c r="AM25" s="129"/>
      <c r="AP25" s="87"/>
      <c r="AQ25" s="87"/>
      <c r="AT25" s="77"/>
      <c r="AU25" s="308"/>
      <c r="AV25" s="309"/>
      <c r="AW25" s="310"/>
      <c r="AX25" s="77"/>
      <c r="AY25" s="77"/>
      <c r="AZ25" s="77"/>
      <c r="BA25" s="77"/>
      <c r="BB25" s="77"/>
      <c r="BC25" s="77"/>
      <c r="BD25" s="77"/>
      <c r="BE25" s="77"/>
      <c r="BF25" s="77"/>
      <c r="BG25" s="77"/>
    </row>
    <row r="26" spans="1:59" ht="12.75">
      <c r="A26" s="64" t="str">
        <f>IF(N_Fgl&gt;1,"2° figlio"," ")</f>
        <v> </v>
      </c>
      <c r="B26" s="63"/>
      <c r="C26" s="43"/>
      <c r="D26" s="63"/>
      <c r="E26" s="63"/>
      <c r="F26" s="43"/>
      <c r="G26" s="63"/>
      <c r="H26" s="63"/>
      <c r="I26" s="43"/>
      <c r="J26" s="63"/>
      <c r="K26" s="63"/>
      <c r="L26" s="66" t="str">
        <f>IF($D$23&gt;1,ROUND(AB26/12,2),Vuota1)</f>
        <v>        </v>
      </c>
      <c r="M26" s="234"/>
      <c r="N26" s="188"/>
      <c r="O26" s="235"/>
      <c r="P26" s="245"/>
      <c r="Q26" s="64" t="str">
        <f>IF(N_Fgl&gt;1,"2° figlio"," ")</f>
        <v> </v>
      </c>
      <c r="R26" s="63"/>
      <c r="S26" s="43">
        <f t="shared" si="2"/>
        <v>0</v>
      </c>
      <c r="T26" s="63"/>
      <c r="U26" s="63"/>
      <c r="V26" s="43">
        <f t="shared" si="3"/>
        <v>0</v>
      </c>
      <c r="W26" s="63"/>
      <c r="X26" s="63"/>
      <c r="Y26" s="43">
        <f t="shared" si="4"/>
        <v>0</v>
      </c>
      <c r="Z26" s="63"/>
      <c r="AA26" s="43"/>
      <c r="AB26" s="66" t="str">
        <f>IF(N_Fgl&gt;1,ROUND(dsfig*Percm,2)+IF(V26&gt;0,ROUND((dsfg3-dsfig)*Percm,2),0)+IF(Y26&gt;0,ROUND(dsfhc*Percm,2),0),Vuota1)</f>
        <v>        </v>
      </c>
      <c r="AC26" s="234"/>
      <c r="AD26" s="188"/>
      <c r="AE26" s="235"/>
      <c r="AF26" s="245"/>
      <c r="AI26" s="315"/>
      <c r="AJ26" s="316"/>
      <c r="AK26" s="77"/>
      <c r="AL26" s="128"/>
      <c r="AM26" s="129"/>
      <c r="AP26" s="87"/>
      <c r="AQ26" s="8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</row>
    <row r="27" spans="1:59" ht="12.75">
      <c r="A27" s="64" t="str">
        <f>IF(N_Fgl&gt;2,"3° figlio"," ")</f>
        <v> </v>
      </c>
      <c r="B27" s="63"/>
      <c r="C27" s="43"/>
      <c r="D27" s="63"/>
      <c r="E27" s="63"/>
      <c r="F27" s="43"/>
      <c r="G27" s="63"/>
      <c r="H27" s="63"/>
      <c r="I27" s="43"/>
      <c r="J27" s="63"/>
      <c r="K27" s="63"/>
      <c r="L27" s="66" t="str">
        <f>IF($D$23&gt;2,ROUND(AB27/12,2),Vuota1)</f>
        <v>        </v>
      </c>
      <c r="M27" s="236"/>
      <c r="N27" s="237"/>
      <c r="O27" s="238"/>
      <c r="P27" s="246"/>
      <c r="Q27" s="64" t="str">
        <f>IF(N_Fgl&gt;2,"3° figlio"," ")</f>
        <v> </v>
      </c>
      <c r="R27" s="63"/>
      <c r="S27" s="43">
        <f t="shared" si="2"/>
        <v>0</v>
      </c>
      <c r="T27" s="63"/>
      <c r="U27" s="63"/>
      <c r="V27" s="43">
        <f t="shared" si="3"/>
        <v>0</v>
      </c>
      <c r="W27" s="63"/>
      <c r="X27" s="63"/>
      <c r="Y27" s="43">
        <f t="shared" si="4"/>
        <v>0</v>
      </c>
      <c r="Z27" s="63"/>
      <c r="AA27" s="43"/>
      <c r="AB27" s="66" t="str">
        <f>IF(N_Fgl&gt;2,ROUND(dsfig*Percm,2)+IF(V27&gt;0,ROUND((dsfg3-dsfig)*Percm,2),0)+IF(Y27&gt;0,ROUND(dsfhc*Percm,2),0),Vuota1)</f>
        <v>        </v>
      </c>
      <c r="AC27" s="236"/>
      <c r="AD27" s="237"/>
      <c r="AE27" s="238"/>
      <c r="AF27" s="246"/>
      <c r="AH27" s="106">
        <f>IF($AD$23&gt;0,IF($AH$25&gt;Cng_nn,ROUND($AH$25,2),ROUND(Cng_nn,5)),AH25)</f>
        <v>0</v>
      </c>
      <c r="AI27" s="315"/>
      <c r="AJ27" s="316"/>
      <c r="AK27" s="77"/>
      <c r="AL27" s="128"/>
      <c r="AM27" s="129"/>
      <c r="AP27" s="87"/>
      <c r="AQ27" s="8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</row>
    <row r="28" spans="1:59" ht="12.75">
      <c r="A28" s="64" t="str">
        <f>IF(N_Fgl&gt;3,"4° figlio"," ")</f>
        <v> </v>
      </c>
      <c r="B28" s="63"/>
      <c r="C28" s="43"/>
      <c r="D28" s="63"/>
      <c r="E28" s="63"/>
      <c r="F28" s="43"/>
      <c r="G28" s="63"/>
      <c r="H28" s="63"/>
      <c r="I28" s="43"/>
      <c r="J28" s="63"/>
      <c r="K28" s="63"/>
      <c r="L28" s="66" t="str">
        <f>IF($D$23&gt;3,ROUND(AB28/12,2),Vuota1)</f>
        <v>        </v>
      </c>
      <c r="M28" s="319" t="str">
        <f>IF(N23&gt;0,IF(P25=50%,"Attenzione: la percentuale deve essere 100%",Vuota1),Vuota1)</f>
        <v>        </v>
      </c>
      <c r="N28" s="319"/>
      <c r="O28" s="319"/>
      <c r="P28" s="320"/>
      <c r="Q28" s="64" t="str">
        <f>IF(N_Fgl&gt;3,"4° figlio"," ")</f>
        <v> </v>
      </c>
      <c r="R28" s="63"/>
      <c r="S28" s="43">
        <f t="shared" si="2"/>
        <v>0</v>
      </c>
      <c r="T28" s="63"/>
      <c r="U28" s="63"/>
      <c r="V28" s="43">
        <f t="shared" si="3"/>
        <v>0</v>
      </c>
      <c r="W28" s="63"/>
      <c r="X28" s="63"/>
      <c r="Y28" s="43">
        <f t="shared" si="4"/>
        <v>0</v>
      </c>
      <c r="Z28" s="63"/>
      <c r="AA28" s="43"/>
      <c r="AB28" s="66" t="str">
        <f>IF(N_Fgl&gt;3,ROUND(dsfig*Percm,2)+IF(V28&gt;0,ROUND((dsfg3-dsfig)*Percm,2),0)+IF(Y28&gt;0,ROUND(dsfhc*Percm,2),0),Vuota1)</f>
        <v>        </v>
      </c>
      <c r="AC28" s="20"/>
      <c r="AD28" s="20"/>
      <c r="AE28" s="20"/>
      <c r="AF28" s="62"/>
      <c r="AI28" s="315"/>
      <c r="AJ28" s="316"/>
      <c r="AK28" s="77"/>
      <c r="AL28" s="128"/>
      <c r="AM28" s="129"/>
      <c r="AP28" s="87"/>
      <c r="AQ28" s="8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</row>
    <row r="29" spans="1:59" ht="13.5" thickBot="1">
      <c r="A29" s="64" t="str">
        <f>IF(N_Fgl&gt;4,"5° figlio"," ")</f>
        <v> </v>
      </c>
      <c r="B29" s="63"/>
      <c r="C29" s="43"/>
      <c r="D29" s="63"/>
      <c r="E29" s="63"/>
      <c r="F29" s="43"/>
      <c r="G29" s="63"/>
      <c r="H29" s="63"/>
      <c r="I29" s="43"/>
      <c r="J29" s="63"/>
      <c r="K29" s="63"/>
      <c r="L29" s="66" t="str">
        <f>IF($D$23&gt;4,ROUND(AB29/12,2),Vuota1)</f>
        <v>        </v>
      </c>
      <c r="M29" s="321"/>
      <c r="N29" s="321"/>
      <c r="O29" s="321"/>
      <c r="P29" s="322"/>
      <c r="Q29" s="64" t="str">
        <f>IF(N_Fgl&gt;4,"5° figlio"," ")</f>
        <v> </v>
      </c>
      <c r="R29" s="63"/>
      <c r="S29" s="43">
        <f t="shared" si="2"/>
        <v>0</v>
      </c>
      <c r="T29" s="63"/>
      <c r="U29" s="63"/>
      <c r="V29" s="43">
        <f t="shared" si="3"/>
        <v>0</v>
      </c>
      <c r="W29" s="63"/>
      <c r="X29" s="63"/>
      <c r="Y29" s="43">
        <f t="shared" si="4"/>
        <v>0</v>
      </c>
      <c r="Z29" s="63"/>
      <c r="AA29" s="43"/>
      <c r="AB29" s="66" t="str">
        <f>IF(N_Fgl&gt;4,ROUND(dsfig*Percm,2)+IF(V29&gt;0,ROUND((dsfg3-dsfig)*Percm,2),0)+IF(Y29&gt;0,ROUND(dsfhc*Percm,2),0),Vuota1)</f>
        <v>        </v>
      </c>
      <c r="AC29" s="20"/>
      <c r="AD29" s="20"/>
      <c r="AE29" s="20"/>
      <c r="AF29" s="62"/>
      <c r="AI29" s="315"/>
      <c r="AJ29" s="316"/>
      <c r="AK29" s="77"/>
      <c r="AL29" s="128"/>
      <c r="AM29" s="129"/>
      <c r="AP29" s="87"/>
      <c r="AQ29" s="8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</row>
    <row r="30" spans="1:59" ht="13.5" thickTop="1">
      <c r="A30" s="64" t="str">
        <f>IF(N_Fgl&gt;5,"6° figlio"," ")</f>
        <v> </v>
      </c>
      <c r="B30" s="63"/>
      <c r="C30" s="43"/>
      <c r="D30" s="63"/>
      <c r="E30" s="63"/>
      <c r="F30" s="43"/>
      <c r="G30" s="63"/>
      <c r="H30" s="63"/>
      <c r="I30" s="43"/>
      <c r="J30" s="63"/>
      <c r="K30" s="63"/>
      <c r="L30" s="66" t="str">
        <f>IF($D$23&gt;5,ROUND(AB30/12,2),Vuota1)</f>
        <v>        </v>
      </c>
      <c r="M30" s="20"/>
      <c r="N30" s="20"/>
      <c r="O30" s="20"/>
      <c r="P30" s="62"/>
      <c r="Q30" s="64" t="str">
        <f>IF(N_Fgl&gt;5,"6° figlio"," ")</f>
        <v> </v>
      </c>
      <c r="R30" s="63"/>
      <c r="S30" s="43">
        <f t="shared" si="2"/>
        <v>0</v>
      </c>
      <c r="T30" s="63"/>
      <c r="U30" s="63"/>
      <c r="V30" s="43">
        <f t="shared" si="3"/>
        <v>0</v>
      </c>
      <c r="W30" s="63"/>
      <c r="X30" s="63"/>
      <c r="Y30" s="43">
        <f t="shared" si="4"/>
        <v>0</v>
      </c>
      <c r="Z30" s="63"/>
      <c r="AA30" s="43"/>
      <c r="AB30" s="66" t="str">
        <f>IF(N_Fgl&gt;5,ROUND(dsfig*Percm,2)+IF(V30&gt;0,ROUND((dsfg3-dsfig)*Percm,2),0)+IF(Y30&gt;0,ROUND(dsfhc*Percm,2),0),Vuota1)</f>
        <v>        </v>
      </c>
      <c r="AC30" s="20"/>
      <c r="AD30" s="20"/>
      <c r="AE30" s="20"/>
      <c r="AF30" s="62"/>
      <c r="AI30" s="315"/>
      <c r="AJ30" s="316"/>
      <c r="AK30" s="77"/>
      <c r="AL30" s="128"/>
      <c r="AM30" s="129"/>
      <c r="AP30" s="87"/>
      <c r="AQ30" s="87"/>
      <c r="AT30" s="77"/>
      <c r="AU30" s="253" t="s">
        <v>99</v>
      </c>
      <c r="AV30" s="254"/>
      <c r="AW30" s="255"/>
      <c r="AX30" s="77"/>
      <c r="AY30" s="77"/>
      <c r="AZ30" s="77"/>
      <c r="BA30" s="77"/>
      <c r="BB30" s="77"/>
      <c r="BC30" s="77"/>
      <c r="BD30" s="77"/>
      <c r="BE30" s="77"/>
      <c r="BF30" s="77"/>
      <c r="BG30" s="77"/>
    </row>
    <row r="31" spans="1:59" ht="12.75">
      <c r="A31" s="64" t="str">
        <f>IF(N_Fgl&gt;6,"7° figlio"," ")</f>
        <v> </v>
      </c>
      <c r="B31" s="63"/>
      <c r="C31" s="43"/>
      <c r="D31" s="63"/>
      <c r="E31" s="63"/>
      <c r="F31" s="43"/>
      <c r="G31" s="63"/>
      <c r="H31" s="63"/>
      <c r="I31" s="43"/>
      <c r="J31" s="63"/>
      <c r="K31" s="63"/>
      <c r="L31" s="66" t="str">
        <f>IF($D$23&gt;6,ROUND(AB31/12,2),Vuota1)</f>
        <v>        </v>
      </c>
      <c r="M31" s="20"/>
      <c r="N31" s="20"/>
      <c r="O31" s="20"/>
      <c r="P31" s="62"/>
      <c r="Q31" s="64" t="str">
        <f>IF(N_Fgl&gt;6,"7° figlio"," ")</f>
        <v> </v>
      </c>
      <c r="R31" s="63"/>
      <c r="S31" s="43">
        <f t="shared" si="2"/>
        <v>0</v>
      </c>
      <c r="T31" s="63"/>
      <c r="U31" s="63"/>
      <c r="V31" s="43">
        <f t="shared" si="3"/>
        <v>0</v>
      </c>
      <c r="W31" s="63"/>
      <c r="X31" s="63"/>
      <c r="Y31" s="43">
        <f t="shared" si="4"/>
        <v>0</v>
      </c>
      <c r="Z31" s="63"/>
      <c r="AA31" s="43"/>
      <c r="AB31" s="66" t="str">
        <f>IF(N_Fgl&gt;6,ROUND(dsfig*Percm,2)+IF(V31&gt;0,ROUND((dsfg3-dsfig)*Percm,2),0)+IF(Y31&gt;0,ROUND(dsfhc*Percm,2),0),Vuota1)</f>
        <v>        </v>
      </c>
      <c r="AC31" s="20"/>
      <c r="AD31" s="20"/>
      <c r="AE31" s="20"/>
      <c r="AF31" s="62"/>
      <c r="AI31" s="315"/>
      <c r="AJ31" s="316"/>
      <c r="AK31" s="77"/>
      <c r="AL31" s="128"/>
      <c r="AM31" s="129"/>
      <c r="AP31" s="87"/>
      <c r="AQ31" s="87"/>
      <c r="AT31" s="77"/>
      <c r="AU31" s="256"/>
      <c r="AV31" s="257"/>
      <c r="AW31" s="258"/>
      <c r="AX31" s="77"/>
      <c r="AY31" s="77"/>
      <c r="AZ31" s="77"/>
      <c r="BA31" s="77"/>
      <c r="BB31" s="77"/>
      <c r="BC31" s="77"/>
      <c r="BD31" s="77"/>
      <c r="BE31" s="77"/>
      <c r="BF31" s="77"/>
      <c r="BG31" s="77"/>
    </row>
    <row r="32" spans="1:59" ht="12.75">
      <c r="A32" s="5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62"/>
      <c r="Q32" s="57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62"/>
      <c r="AI32" s="315"/>
      <c r="AJ32" s="316"/>
      <c r="AK32" s="77"/>
      <c r="AL32" s="128"/>
      <c r="AM32" s="129"/>
      <c r="AP32" s="87"/>
      <c r="AQ32" s="87"/>
      <c r="AT32" s="77"/>
      <c r="AU32" s="256"/>
      <c r="AV32" s="257"/>
      <c r="AW32" s="258"/>
      <c r="AX32" s="77"/>
      <c r="AY32" s="77"/>
      <c r="AZ32" s="77"/>
      <c r="BA32" s="77"/>
      <c r="BB32" s="77"/>
      <c r="BC32" s="77"/>
      <c r="BD32" s="77"/>
      <c r="BE32" s="77"/>
      <c r="BF32" s="77"/>
      <c r="BG32" s="77"/>
    </row>
    <row r="33" spans="1:59" ht="12.75" customHeight="1">
      <c r="A33" s="286" t="s">
        <v>86</v>
      </c>
      <c r="B33" s="287"/>
      <c r="C33" s="288"/>
      <c r="D33" s="2"/>
      <c r="E33" s="20"/>
      <c r="F33" s="63"/>
      <c r="G33" s="63"/>
      <c r="H33" s="63"/>
      <c r="I33" s="45"/>
      <c r="J33" s="20"/>
      <c r="K33" s="188" t="str">
        <f>IF(D33&gt;0,"Indicare il numero complessivo degli aventi diritto alla detrazione pro quota",Vuota1)</f>
        <v>        </v>
      </c>
      <c r="L33" s="179"/>
      <c r="M33" s="179"/>
      <c r="N33" s="179"/>
      <c r="O33" s="179"/>
      <c r="P33" s="223"/>
      <c r="Q33" s="286" t="s">
        <v>86</v>
      </c>
      <c r="R33" s="287"/>
      <c r="S33" s="288"/>
      <c r="T33" s="2">
        <f>+D33</f>
        <v>0</v>
      </c>
      <c r="U33" s="20"/>
      <c r="V33" s="63" t="str">
        <f>IF(T33&gt;0,"Mesi a carico",Vuota1)</f>
        <v>        </v>
      </c>
      <c r="W33" s="63"/>
      <c r="X33" s="63"/>
      <c r="Y33" s="45">
        <v>12</v>
      </c>
      <c r="Z33" s="20"/>
      <c r="AA33" s="188" t="str">
        <f>IF(T33&gt;0,"Indicare il numero complessivo degli aventi diritto alla detrazione pro quota",Vuota1)</f>
        <v>        </v>
      </c>
      <c r="AB33" s="311"/>
      <c r="AC33" s="311"/>
      <c r="AD33" s="311"/>
      <c r="AE33" s="311"/>
      <c r="AF33" s="223">
        <f>+P33</f>
        <v>0</v>
      </c>
      <c r="AI33" s="315"/>
      <c r="AJ33" s="316"/>
      <c r="AK33" s="77"/>
      <c r="AL33" s="128"/>
      <c r="AM33" s="129"/>
      <c r="AP33" s="87"/>
      <c r="AQ33" s="87"/>
      <c r="AT33" s="77"/>
      <c r="AU33" s="256"/>
      <c r="AV33" s="257"/>
      <c r="AW33" s="258"/>
      <c r="AX33" s="77"/>
      <c r="AY33" s="77"/>
      <c r="AZ33" s="77"/>
      <c r="BA33" s="77"/>
      <c r="BB33" s="77"/>
      <c r="BC33" s="77"/>
      <c r="BD33" s="77"/>
      <c r="BE33" s="77"/>
      <c r="BF33" s="77"/>
      <c r="BG33" s="77"/>
    </row>
    <row r="34" spans="1:59" ht="12.75">
      <c r="A34" s="80"/>
      <c r="B34" s="81"/>
      <c r="C34" s="81"/>
      <c r="D34" s="82"/>
      <c r="E34" s="20"/>
      <c r="F34" s="63"/>
      <c r="G34" s="63"/>
      <c r="H34" s="63"/>
      <c r="I34" s="45"/>
      <c r="J34" s="20"/>
      <c r="K34" s="180"/>
      <c r="L34" s="180"/>
      <c r="M34" s="180"/>
      <c r="N34" s="180"/>
      <c r="O34" s="180"/>
      <c r="P34" s="224"/>
      <c r="Q34" s="80"/>
      <c r="R34" s="81"/>
      <c r="S34" s="81"/>
      <c r="T34" s="82"/>
      <c r="U34" s="20"/>
      <c r="V34" s="63"/>
      <c r="W34" s="63"/>
      <c r="X34" s="63"/>
      <c r="Y34" s="45"/>
      <c r="Z34" s="20"/>
      <c r="AA34" s="180"/>
      <c r="AB34" s="180"/>
      <c r="AC34" s="180"/>
      <c r="AD34" s="180"/>
      <c r="AE34" s="180"/>
      <c r="AF34" s="224"/>
      <c r="AI34" s="315"/>
      <c r="AJ34" s="316"/>
      <c r="AK34" s="77"/>
      <c r="AL34" s="128"/>
      <c r="AM34" s="129"/>
      <c r="AP34" s="87"/>
      <c r="AQ34" s="87"/>
      <c r="AT34" s="77"/>
      <c r="AU34" s="256"/>
      <c r="AV34" s="257"/>
      <c r="AW34" s="258"/>
      <c r="AX34" s="77"/>
      <c r="AY34" s="77"/>
      <c r="AZ34" s="77"/>
      <c r="BA34" s="77"/>
      <c r="BB34" s="77"/>
      <c r="BC34" s="77"/>
      <c r="BD34" s="77"/>
      <c r="BE34" s="77"/>
      <c r="BF34" s="77"/>
      <c r="BG34" s="77"/>
    </row>
    <row r="35" spans="1:59" ht="12.75">
      <c r="A35" s="165" t="s">
        <v>70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7"/>
      <c r="Q35" s="165" t="s">
        <v>70</v>
      </c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7"/>
      <c r="AI35" s="315"/>
      <c r="AJ35" s="316"/>
      <c r="AK35" s="77"/>
      <c r="AL35" s="120">
        <v>0.0001</v>
      </c>
      <c r="AM35" s="121">
        <f>ROUND(DetrConiuge-(Ind*Rapp),2)</f>
        <v>800</v>
      </c>
      <c r="AO35">
        <f>IF(AP35&gt;0,1,0)</f>
        <v>0</v>
      </c>
      <c r="AP35" s="87"/>
      <c r="AQ35" s="87">
        <v>200</v>
      </c>
      <c r="AT35" s="77"/>
      <c r="AU35" s="256"/>
      <c r="AV35" s="257"/>
      <c r="AW35" s="258"/>
      <c r="AX35" s="77"/>
      <c r="AY35" s="77"/>
      <c r="AZ35" s="77"/>
      <c r="BA35" s="77"/>
      <c r="BB35" s="77"/>
      <c r="BC35" s="77"/>
      <c r="BD35" s="77"/>
      <c r="BE35" s="77"/>
      <c r="BF35" s="77"/>
      <c r="BG35" s="77"/>
    </row>
    <row r="36" spans="1:59" ht="12.75">
      <c r="A36" s="290" t="s">
        <v>32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2"/>
      <c r="Q36" s="290" t="s">
        <v>32</v>
      </c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2"/>
      <c r="AH36" s="184" t="s">
        <v>62</v>
      </c>
      <c r="AI36" s="315"/>
      <c r="AJ36" s="316"/>
      <c r="AK36" s="77"/>
      <c r="AL36" s="122">
        <v>1</v>
      </c>
      <c r="AM36" s="121">
        <f>+DetrRid</f>
        <v>690</v>
      </c>
      <c r="AO36">
        <f>IF(AP36&gt;0,1,0)</f>
        <v>0</v>
      </c>
      <c r="AP36" s="87"/>
      <c r="AQ36" s="87">
        <v>1500</v>
      </c>
      <c r="AT36" s="77"/>
      <c r="AU36" s="256"/>
      <c r="AV36" s="257"/>
      <c r="AW36" s="258"/>
      <c r="AX36" s="77"/>
      <c r="AY36" s="77"/>
      <c r="AZ36" s="77"/>
      <c r="BA36" s="77"/>
      <c r="BB36" s="77"/>
      <c r="BC36" s="77"/>
      <c r="BD36" s="77"/>
      <c r="BE36" s="77"/>
      <c r="BF36" s="77"/>
      <c r="BG36" s="77"/>
    </row>
    <row r="37" spans="1:59" ht="12.75">
      <c r="A37" s="225" t="s">
        <v>19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7"/>
      <c r="M37" s="3">
        <f>ROUND(AC37/12,0)</f>
        <v>0</v>
      </c>
      <c r="N37" s="20"/>
      <c r="O37" s="20"/>
      <c r="P37" s="62"/>
      <c r="Q37" s="225" t="s">
        <v>19</v>
      </c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7"/>
      <c r="AC37" s="3">
        <f>IF(CNG="SI",ROUND((VLOOKUP(Redd_Detraz,ConDetr,3)+VLOOKUP(Redd_Detraz,LettB,3))/12*Me_co,2),0)</f>
        <v>0</v>
      </c>
      <c r="AD37" s="20"/>
      <c r="AE37" s="20"/>
      <c r="AF37" s="62"/>
      <c r="AH37" s="184"/>
      <c r="AI37" s="315"/>
      <c r="AJ37" s="316"/>
      <c r="AK37" s="77"/>
      <c r="AL37" s="123">
        <v>10</v>
      </c>
      <c r="AM37" s="124">
        <f>ROUND(DetrConiuge-(Ind*Rapp),2)</f>
        <v>800</v>
      </c>
      <c r="AO37">
        <f>SUM(AO18:AO36)</f>
        <v>0</v>
      </c>
      <c r="AT37" s="77"/>
      <c r="AU37" s="256"/>
      <c r="AV37" s="257"/>
      <c r="AW37" s="258"/>
      <c r="AX37" s="77"/>
      <c r="AY37" s="77"/>
      <c r="AZ37" s="77"/>
      <c r="BA37" s="77"/>
      <c r="BB37" s="77"/>
      <c r="BC37" s="77"/>
      <c r="BD37" s="77"/>
      <c r="BE37" s="77"/>
      <c r="BF37" s="77"/>
      <c r="BG37" s="77"/>
    </row>
    <row r="38" spans="1:59" ht="13.5" thickBot="1">
      <c r="A38" s="225" t="s">
        <v>42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7"/>
      <c r="M38" s="3">
        <f>ROUND(AC38/12,0)</f>
        <v>0</v>
      </c>
      <c r="N38" s="20"/>
      <c r="O38" s="20"/>
      <c r="P38" s="62"/>
      <c r="Q38" s="225" t="s">
        <v>42</v>
      </c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7"/>
      <c r="AC38" s="3">
        <f>SUMIF(AB25:AB31,"&gt;0")</f>
        <v>0</v>
      </c>
      <c r="AD38" s="20"/>
      <c r="AE38" s="20"/>
      <c r="AF38" s="62"/>
      <c r="AH38" s="109">
        <f>IF(Lordo&gt;0,ROUND((VLOOKUP(Redd_Detraz,ConDetr,3)+VLOOKUP(Redd_Detraz,LettB,3)),5),0)</f>
        <v>0</v>
      </c>
      <c r="AI38" s="315"/>
      <c r="AJ38" s="110">
        <v>40000</v>
      </c>
      <c r="AK38" s="77"/>
      <c r="AL38" s="125"/>
      <c r="AM38" s="126">
        <f>+DetrRid</f>
        <v>690</v>
      </c>
      <c r="AT38" s="77"/>
      <c r="AU38" s="259"/>
      <c r="AV38" s="260"/>
      <c r="AW38" s="261"/>
      <c r="AX38" s="77"/>
      <c r="AY38" s="77"/>
      <c r="AZ38" s="77"/>
      <c r="BA38" s="77"/>
      <c r="BB38" s="77"/>
      <c r="BC38" s="77"/>
      <c r="BD38" s="77"/>
      <c r="BE38" s="77"/>
      <c r="BF38" s="77"/>
      <c r="BG38" s="77"/>
    </row>
    <row r="39" spans="1:59" ht="13.5" thickTop="1">
      <c r="A39" s="225" t="s">
        <v>56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7"/>
      <c r="M39" s="3">
        <f>IF(D33&gt;0,IF(P33&gt;0,ROUND(AC39/12,0),0),0)</f>
        <v>0</v>
      </c>
      <c r="N39" s="20"/>
      <c r="O39" s="20"/>
      <c r="P39" s="62"/>
      <c r="Q39" s="225" t="s">
        <v>56</v>
      </c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7"/>
      <c r="AC39" s="3">
        <f>IF(T33&gt;0,ROUND(dsaltri*T33/12*Y33/AF33,2),0)</f>
        <v>0</v>
      </c>
      <c r="AD39" s="20"/>
      <c r="AE39" s="20"/>
      <c r="AF39" s="62"/>
      <c r="AI39" s="315"/>
      <c r="AJ39" s="316">
        <v>80000</v>
      </c>
      <c r="AK39" s="77"/>
      <c r="AL39" s="118">
        <v>0</v>
      </c>
      <c r="AM39" s="119">
        <v>0</v>
      </c>
      <c r="AP39">
        <f>IF(AO37&gt;0,IF(VLOOKUP(AP42,abi,2)&lt;DetrRid,DetrRid,VLOOKUP(AP42,abi,2)),0)</f>
        <v>0</v>
      </c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</row>
    <row r="40" spans="1:59" ht="12.75">
      <c r="A40" s="172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4"/>
      <c r="Q40" s="172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4"/>
      <c r="AH40" s="184" t="s">
        <v>63</v>
      </c>
      <c r="AI40" s="315"/>
      <c r="AJ40" s="316"/>
      <c r="AK40" s="77"/>
      <c r="AL40" s="120">
        <v>0.0001</v>
      </c>
      <c r="AM40" s="121">
        <f>ROUND(DetrRid*Rap1,2)</f>
        <v>1380</v>
      </c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</row>
    <row r="41" spans="1:59" ht="12.75">
      <c r="A41" s="225" t="s">
        <v>76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7"/>
      <c r="M41" s="3">
        <f>SUM(M37:M39)</f>
        <v>0</v>
      </c>
      <c r="N41" s="20"/>
      <c r="O41" s="20"/>
      <c r="P41" s="62"/>
      <c r="Q41" s="225" t="s">
        <v>76</v>
      </c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7"/>
      <c r="AC41" s="3">
        <f>SUM(AC37:AC39)</f>
        <v>0</v>
      </c>
      <c r="AD41" s="20"/>
      <c r="AE41" s="20"/>
      <c r="AF41" s="62"/>
      <c r="AH41" s="184"/>
      <c r="AI41" s="315"/>
      <c r="AJ41" s="316"/>
      <c r="AK41" s="77"/>
      <c r="AL41" s="122">
        <v>1</v>
      </c>
      <c r="AM41" s="121">
        <f>ROUND(DetrRid*Rap1,2)</f>
        <v>1380</v>
      </c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</row>
    <row r="42" spans="1:59" ht="12.75">
      <c r="A42" s="165" t="s">
        <v>71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7"/>
      <c r="Q42" s="165" t="s">
        <v>71</v>
      </c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7"/>
      <c r="AH42" s="106">
        <f>dsfig+IF($V$25&gt;0,dsfg3-dsfig,0)+IF($Y$25&gt;0,dsfhc,0)</f>
        <v>0</v>
      </c>
      <c r="AI42" s="315"/>
      <c r="AJ42" s="316"/>
      <c r="AK42" s="77"/>
      <c r="AL42" s="123">
        <v>10</v>
      </c>
      <c r="AM42" s="124">
        <f>ROUND(DetrRid*Rap1,2)</f>
        <v>1380</v>
      </c>
      <c r="AP42" t="s">
        <v>58</v>
      </c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</row>
    <row r="43" spans="1:59" ht="12.75">
      <c r="A43" s="155" t="s">
        <v>73</v>
      </c>
      <c r="B43" s="156"/>
      <c r="C43" s="156"/>
      <c r="D43" s="156"/>
      <c r="E43" s="156"/>
      <c r="F43" s="157"/>
      <c r="G43" s="46" t="str">
        <f>IF(E17&gt;0,IF(G44&gt;0,Vuota1,"x"),Vuota1)</f>
        <v>        </v>
      </c>
      <c r="H43" s="63"/>
      <c r="I43" s="312" t="s">
        <v>141</v>
      </c>
      <c r="J43" s="158"/>
      <c r="K43" s="158"/>
      <c r="L43" s="158"/>
      <c r="M43" s="2">
        <v>30</v>
      </c>
      <c r="N43" s="20"/>
      <c r="O43" s="20"/>
      <c r="P43" s="62"/>
      <c r="Q43" s="155" t="s">
        <v>73</v>
      </c>
      <c r="R43" s="156"/>
      <c r="S43" s="156"/>
      <c r="T43" s="156"/>
      <c r="U43" s="156"/>
      <c r="V43" s="157"/>
      <c r="W43" s="46" t="str">
        <f>IF(W44&gt;0,Vuota1,"x")</f>
        <v>x</v>
      </c>
      <c r="X43" s="63"/>
      <c r="Y43" s="312" t="s">
        <v>75</v>
      </c>
      <c r="Z43" s="158"/>
      <c r="AA43" s="158"/>
      <c r="AB43" s="158"/>
      <c r="AC43" s="2">
        <v>365</v>
      </c>
      <c r="AD43" s="20"/>
      <c r="AE43" s="20"/>
      <c r="AF43" s="62"/>
      <c r="AI43" s="315"/>
      <c r="AJ43" s="114">
        <v>1000000000</v>
      </c>
      <c r="AK43" s="77"/>
      <c r="AL43" s="130">
        <v>0</v>
      </c>
      <c r="AM43" s="124">
        <v>0</v>
      </c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</row>
    <row r="44" spans="1:59" ht="12.75">
      <c r="A44" s="67" t="s">
        <v>74</v>
      </c>
      <c r="B44" s="68"/>
      <c r="C44" s="68"/>
      <c r="D44" s="68"/>
      <c r="E44" s="68"/>
      <c r="F44" s="20"/>
      <c r="G44" s="2"/>
      <c r="H44" s="63"/>
      <c r="I44" s="63"/>
      <c r="J44" s="63"/>
      <c r="K44" s="158" t="s">
        <v>77</v>
      </c>
      <c r="L44" s="158"/>
      <c r="M44" s="158"/>
      <c r="N44" s="159"/>
      <c r="O44" s="39">
        <f>IF(E17&gt;0,ROUND(AE44/365*M43,0),0)</f>
        <v>0</v>
      </c>
      <c r="P44" s="62"/>
      <c r="Q44" s="67" t="s">
        <v>74</v>
      </c>
      <c r="R44" s="68"/>
      <c r="S44" s="68"/>
      <c r="T44" s="68"/>
      <c r="U44" s="68"/>
      <c r="V44" s="20"/>
      <c r="W44" s="2">
        <f>+G44</f>
        <v>0</v>
      </c>
      <c r="X44" s="63"/>
      <c r="Y44" s="63"/>
      <c r="Z44" s="63"/>
      <c r="AA44" s="158" t="s">
        <v>77</v>
      </c>
      <c r="AB44" s="158"/>
      <c r="AC44" s="158"/>
      <c r="AD44" s="159"/>
      <c r="AE44" s="39">
        <f>IF(Lordo&gt;0,IF(W44&gt;0,IF(Redd_Detraz&lt;8000.01,IF(AH44&gt;AH47,AH44,AH47),AH44),IF(Redd_Detraz&lt;8000.01,IF(AH44&gt;AH46,AH44,AH46),AH44)),0)</f>
        <v>0</v>
      </c>
      <c r="AF44" s="62"/>
      <c r="AH44" s="373">
        <f>IF(Redd_Detraz&gt;0,ROUND((VLOOKUP(Redd_Detraz,Altre_detraz,2)/365*AC43+VLOOKUP(Redd_Detraz,Aum_altre,2)),5),0)</f>
        <v>0</v>
      </c>
      <c r="AI44" s="315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</row>
    <row r="45" spans="1:59" ht="12.75" customHeight="1" thickBot="1">
      <c r="A45" s="6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70"/>
      <c r="Q45" s="69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70"/>
      <c r="AI45" s="315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</row>
    <row r="46" spans="1:59" ht="12.75" customHeight="1" thickBot="1">
      <c r="A46" s="220" t="s">
        <v>142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2"/>
      <c r="O46" s="228">
        <f>+E17-L18</f>
        <v>0</v>
      </c>
      <c r="P46" s="228"/>
      <c r="Q46" s="71" t="s">
        <v>20</v>
      </c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228">
        <f>+Reddito_imponibile_mensile+Gratif_Anno</f>
        <v>0</v>
      </c>
      <c r="AF46" s="228"/>
      <c r="AH46" s="106">
        <v>690</v>
      </c>
      <c r="AI46" s="315"/>
      <c r="AJ46" s="106">
        <v>0.001</v>
      </c>
      <c r="AK46" s="87"/>
      <c r="AL46" s="106">
        <f>VLOOKUP(Rapp,quin,2)</f>
        <v>0</v>
      </c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</row>
    <row r="47" spans="1:59" ht="12.75" customHeight="1" thickBot="1">
      <c r="A47" s="220" t="s">
        <v>143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2"/>
      <c r="O47" s="162">
        <f>ROUND(IreTab/12,5)</f>
        <v>0</v>
      </c>
      <c r="P47" s="162"/>
      <c r="Q47" s="35" t="s">
        <v>60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14">
        <f>IF(Lordo&gt;0,IF(Reddito_imponibile_mensile&gt;0,ROUND((Reddito_imponibile_mensile-VLOOKUP(Reddito_imponibile_mensile,Aliquote,1))*VLOOKUP(Reddito_imponibile_mensile,Aliquote,3),5)+VLOOKUP(Reddito_imponibile_mensile,Aliquote,4),0)+IF(Gratif_Anno&gt;0,ROUND(Gratif_Anno*VLOOKUP(ReddNetto,Aliquote,3),5),0),0)</f>
        <v>0</v>
      </c>
      <c r="AF47" s="314"/>
      <c r="AH47" s="106">
        <v>1380</v>
      </c>
      <c r="AI47" s="315"/>
      <c r="AJ47" s="106">
        <v>15000</v>
      </c>
      <c r="AK47" s="87"/>
      <c r="AL47" s="106">
        <f>+DetrRid</f>
        <v>690</v>
      </c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</row>
    <row r="48" spans="1:59" ht="13.5" thickBot="1">
      <c r="A48" s="220" t="s">
        <v>144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2"/>
      <c r="O48" s="162">
        <f>+M41+O44</f>
        <v>0</v>
      </c>
      <c r="P48" s="162"/>
      <c r="Q48" s="37" t="s">
        <v>36</v>
      </c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162">
        <f>+AC41+AE44</f>
        <v>0</v>
      </c>
      <c r="AF48" s="162"/>
      <c r="AI48" s="315"/>
      <c r="AJ48" s="106">
        <v>40000</v>
      </c>
      <c r="AK48" s="87"/>
      <c r="AL48" s="106">
        <f>VLOOKUP(Rap1,ottan,2)</f>
        <v>1380</v>
      </c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</row>
    <row r="49" spans="1:59" ht="16.5" thickBot="1">
      <c r="A49" s="296" t="s">
        <v>147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97"/>
      <c r="O49" s="326">
        <f>IF(O47-O48&gt;0,O47-O48,0)</f>
        <v>0</v>
      </c>
      <c r="P49" s="178"/>
      <c r="Q49" s="71" t="s">
        <v>61</v>
      </c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177">
        <f>+AE47-AE48</f>
        <v>0</v>
      </c>
      <c r="AF49" s="178"/>
      <c r="AI49" s="315"/>
      <c r="AJ49" s="106">
        <v>80000</v>
      </c>
      <c r="AK49" s="87"/>
      <c r="AL49" s="106">
        <v>0</v>
      </c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</row>
    <row r="50" spans="1:59" ht="16.5" thickBot="1">
      <c r="A50" s="190" t="s">
        <v>146</v>
      </c>
      <c r="B50" s="190"/>
      <c r="C50" s="190"/>
      <c r="D50" s="190"/>
      <c r="E50" s="191" t="str">
        <f>IF(E17&gt;0,VLOOKUP(ReddNetto,Aliquote,3),Vuota1)</f>
        <v>        </v>
      </c>
      <c r="F50" s="191"/>
      <c r="G50" s="152"/>
      <c r="H50" s="152"/>
      <c r="I50" s="152"/>
      <c r="J50" s="152"/>
      <c r="K50" s="323" t="s">
        <v>131</v>
      </c>
      <c r="L50" s="323"/>
      <c r="M50" s="323"/>
      <c r="N50" s="323"/>
      <c r="O50" s="324">
        <f>+O49</f>
        <v>0</v>
      </c>
      <c r="P50" s="325"/>
      <c r="Q50" s="72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73"/>
      <c r="AI50" s="315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</row>
    <row r="51" spans="17:59" ht="12.75">
      <c r="Q51" s="57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62"/>
      <c r="AI51" s="315"/>
      <c r="AJ51" s="137">
        <v>0</v>
      </c>
      <c r="AK51" s="138"/>
      <c r="AL51" s="115">
        <v>0</v>
      </c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</row>
    <row r="52" spans="17:59" ht="13.5">
      <c r="Q52" s="168" t="s">
        <v>21</v>
      </c>
      <c r="R52" s="169"/>
      <c r="S52" s="169"/>
      <c r="T52" s="153"/>
      <c r="U52" s="163" t="s">
        <v>22</v>
      </c>
      <c r="V52" s="154"/>
      <c r="W52" s="164"/>
      <c r="X52" s="163" t="s">
        <v>23</v>
      </c>
      <c r="Y52" s="154"/>
      <c r="Z52" s="164"/>
      <c r="AA52" s="163" t="s">
        <v>24</v>
      </c>
      <c r="AB52" s="164"/>
      <c r="AC52" s="52" t="s">
        <v>25</v>
      </c>
      <c r="AD52" s="163" t="s">
        <v>26</v>
      </c>
      <c r="AE52" s="164"/>
      <c r="AF52" s="62"/>
      <c r="AI52" s="315"/>
      <c r="AJ52" s="139">
        <v>29000.01</v>
      </c>
      <c r="AK52" s="140"/>
      <c r="AL52" s="116">
        <v>10</v>
      </c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</row>
    <row r="53" spans="17:59" ht="12.75">
      <c r="Q53" s="163" t="s">
        <v>27</v>
      </c>
      <c r="R53" s="154"/>
      <c r="S53" s="154"/>
      <c r="T53" s="164"/>
      <c r="U53" s="53"/>
      <c r="V53" s="2">
        <v>1.4</v>
      </c>
      <c r="W53" s="53"/>
      <c r="X53" s="175">
        <f>+ReddNetto</f>
        <v>0</v>
      </c>
      <c r="Y53" s="219"/>
      <c r="Z53" s="176"/>
      <c r="AA53" s="175">
        <f>ROUND(X53*V53%,2)</f>
        <v>0</v>
      </c>
      <c r="AB53" s="176"/>
      <c r="AC53" s="2">
        <v>10</v>
      </c>
      <c r="AD53" s="175">
        <f>ROUND(AA53/AC53,2)</f>
        <v>0</v>
      </c>
      <c r="AE53" s="176"/>
      <c r="AF53" s="62"/>
      <c r="AI53" s="315"/>
      <c r="AJ53" s="139">
        <v>29200.01</v>
      </c>
      <c r="AK53" s="140"/>
      <c r="AL53" s="116">
        <v>20</v>
      </c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</row>
    <row r="54" spans="17:59" ht="12.75">
      <c r="Q54" s="163" t="s">
        <v>28</v>
      </c>
      <c r="R54" s="154"/>
      <c r="S54" s="154"/>
      <c r="T54" s="164"/>
      <c r="U54" s="53"/>
      <c r="V54" s="2">
        <v>0.4</v>
      </c>
      <c r="W54" s="53"/>
      <c r="X54" s="175">
        <f>+ReddNetto</f>
        <v>0</v>
      </c>
      <c r="Y54" s="219"/>
      <c r="Z54" s="176"/>
      <c r="AA54" s="175">
        <f>ROUND(X54*V54%,2)</f>
        <v>0</v>
      </c>
      <c r="AB54" s="176"/>
      <c r="AC54" s="52" t="s">
        <v>25</v>
      </c>
      <c r="AD54" s="163" t="s">
        <v>26</v>
      </c>
      <c r="AE54" s="164"/>
      <c r="AF54" s="62"/>
      <c r="AI54" s="315"/>
      <c r="AJ54" s="139">
        <v>34700.01</v>
      </c>
      <c r="AK54" s="140"/>
      <c r="AL54" s="116">
        <v>30</v>
      </c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</row>
    <row r="55" spans="17:59" ht="12.75">
      <c r="Q55" s="282" t="s">
        <v>87</v>
      </c>
      <c r="R55" s="282"/>
      <c r="S55" s="84">
        <v>16</v>
      </c>
      <c r="T55" s="282" t="s">
        <v>88</v>
      </c>
      <c r="U55" s="282"/>
      <c r="V55" s="282"/>
      <c r="W55" s="282"/>
      <c r="X55" s="283" t="s">
        <v>89</v>
      </c>
      <c r="Y55" s="283"/>
      <c r="Z55" s="50" t="s">
        <v>79</v>
      </c>
      <c r="AA55" s="51"/>
      <c r="AB55" s="39">
        <f>ROUND(AA54*30%,2)</f>
        <v>0</v>
      </c>
      <c r="AC55" s="2">
        <v>10</v>
      </c>
      <c r="AD55" s="175">
        <f>ROUND(AB55/AC55,2)</f>
        <v>0</v>
      </c>
      <c r="AE55" s="176"/>
      <c r="AF55" s="62"/>
      <c r="AI55" s="315"/>
      <c r="AJ55" s="139">
        <v>35000.01</v>
      </c>
      <c r="AK55" s="140"/>
      <c r="AL55" s="116">
        <v>20</v>
      </c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</row>
    <row r="56" spans="17:59" ht="12.75">
      <c r="Q56" s="57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62"/>
      <c r="AI56" s="315"/>
      <c r="AJ56" s="139">
        <v>35100.01</v>
      </c>
      <c r="AK56" s="140"/>
      <c r="AL56" s="116">
        <v>10</v>
      </c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</row>
    <row r="57" spans="17:59" ht="12.75" customHeight="1" thickBot="1">
      <c r="Q57" s="57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62"/>
      <c r="AI57" s="315"/>
      <c r="AJ57" s="141">
        <v>35200.01</v>
      </c>
      <c r="AK57" s="142"/>
      <c r="AL57" s="117">
        <v>0</v>
      </c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</row>
    <row r="58" spans="17:59" ht="12.75">
      <c r="Q58" s="74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</row>
    <row r="59" spans="35:39" ht="12.75">
      <c r="AI59" t="s">
        <v>46</v>
      </c>
      <c r="AJ59" s="19" t="s">
        <v>47</v>
      </c>
      <c r="AK59" s="171" t="s">
        <v>52</v>
      </c>
      <c r="AL59" s="18" t="s">
        <v>48</v>
      </c>
      <c r="AM59" s="18" t="s">
        <v>53</v>
      </c>
    </row>
    <row r="60" spans="36:39" ht="12.75">
      <c r="AJ60" s="86">
        <v>95000</v>
      </c>
      <c r="AK60" s="171"/>
      <c r="AL60" s="106">
        <v>15000</v>
      </c>
      <c r="AM60" s="106">
        <f>IF(AK61&gt;1,ROUND((AK61-1)*AL60,2)+AJ60,AJ60)</f>
        <v>95000</v>
      </c>
    </row>
    <row r="61" spans="36:41" ht="12.75">
      <c r="AJ61" s="18" t="s">
        <v>55</v>
      </c>
      <c r="AK61" s="87">
        <f>+N_Fgl</f>
        <v>0</v>
      </c>
      <c r="AL61" s="18" t="s">
        <v>54</v>
      </c>
      <c r="AM61" s="18" t="s">
        <v>45</v>
      </c>
      <c r="AN61" s="18"/>
      <c r="AO61" s="18" t="s">
        <v>41</v>
      </c>
    </row>
    <row r="62" spans="35:44" ht="12.75">
      <c r="AI62" t="s">
        <v>51</v>
      </c>
      <c r="AJ62" s="106">
        <f>IF(Som_fg&gt;3,1000,800)</f>
        <v>800</v>
      </c>
      <c r="AL62" s="106">
        <f>ROUND(fgl*VLOOKUP($AO$62,IndRapp,2),2)</f>
        <v>0</v>
      </c>
      <c r="AM62" s="112">
        <v>0</v>
      </c>
      <c r="AN62" s="77">
        <v>0</v>
      </c>
      <c r="AO62" s="83">
        <f>ROUND((ImFisFin-Redd_Detraz)/ImFisFin,6)</f>
        <v>1</v>
      </c>
      <c r="AQ62" s="87">
        <f>+dsfig</f>
        <v>0</v>
      </c>
      <c r="AR62" s="87">
        <f>+AQ62</f>
        <v>0</v>
      </c>
    </row>
    <row r="63" spans="35:44" ht="12.75">
      <c r="AI63" t="s">
        <v>49</v>
      </c>
      <c r="AJ63" s="106">
        <f>IF(Som_fg&gt;3,1100,900)</f>
        <v>900</v>
      </c>
      <c r="AL63" s="106">
        <f>ROUND(AJ63*VLOOKUP($AO$62,IndRapp,2),2)</f>
        <v>0</v>
      </c>
      <c r="AM63" s="113">
        <v>0.0001</v>
      </c>
      <c r="AN63" s="77">
        <f>+AO62</f>
        <v>1</v>
      </c>
      <c r="AQ63" s="87">
        <f>+dsfg3</f>
        <v>0</v>
      </c>
      <c r="AR63" s="87">
        <f>+AQ63</f>
        <v>0</v>
      </c>
    </row>
    <row r="64" spans="35:44" ht="12.75">
      <c r="AI64" t="s">
        <v>50</v>
      </c>
      <c r="AJ64" s="106">
        <v>220</v>
      </c>
      <c r="AL64" s="106">
        <f>ROUND(fglh*VLOOKUP($AO$62,IndRapp,2),2)</f>
        <v>0</v>
      </c>
      <c r="AM64" s="110">
        <v>1</v>
      </c>
      <c r="AN64" s="77">
        <v>0</v>
      </c>
      <c r="AQ64" s="87">
        <f>+dsfhc</f>
        <v>0</v>
      </c>
      <c r="AR64" s="87">
        <f>+AQ64</f>
        <v>0</v>
      </c>
    </row>
    <row r="65" spans="38:40" ht="12.75">
      <c r="AL65" s="85"/>
      <c r="AM65" s="110">
        <v>10</v>
      </c>
      <c r="AN65" s="77">
        <f>+AO62</f>
        <v>1</v>
      </c>
    </row>
    <row r="66" spans="35:38" ht="12.75">
      <c r="AI66" t="s">
        <v>57</v>
      </c>
      <c r="AJ66" s="87">
        <v>750</v>
      </c>
      <c r="AL66" s="106">
        <f>ROUND(Altri*VLOOKUP(AO67,Rapp_Altri,2),4)</f>
        <v>0</v>
      </c>
    </row>
    <row r="67" ht="12.75">
      <c r="AO67" s="83">
        <f>TRUNC((80000-Redd_Detraz)/80000,6)</f>
        <v>1</v>
      </c>
    </row>
    <row r="68" spans="35:41" ht="12.75">
      <c r="AI68" t="s">
        <v>72</v>
      </c>
      <c r="AL68" t="s">
        <v>41</v>
      </c>
      <c r="AN68" s="131">
        <v>0</v>
      </c>
      <c r="AO68" s="87">
        <v>0</v>
      </c>
    </row>
    <row r="69" spans="35:41" ht="12.75">
      <c r="AI69" s="106">
        <v>1</v>
      </c>
      <c r="AJ69" s="106">
        <v>1840</v>
      </c>
      <c r="AL69" s="83">
        <f>IF(ROUND((15000-Redd_Detraz)/7000,6)&gt;0,ROUND((15000-Redd_Detraz)/7000,6),0)</f>
        <v>2.142857</v>
      </c>
      <c r="AN69" s="132">
        <v>0.0001</v>
      </c>
      <c r="AO69" s="133">
        <f>+AO67</f>
        <v>1</v>
      </c>
    </row>
    <row r="70" spans="35:41" ht="12.75">
      <c r="AI70" s="106">
        <v>8000.01</v>
      </c>
      <c r="AJ70" s="106">
        <f>1338+ROUND(502*AL69,2)</f>
        <v>2413.71</v>
      </c>
      <c r="AL70">
        <f>ROUND((55000-Redd_Detraz)/40000,6)</f>
        <v>1.375</v>
      </c>
      <c r="AN70" s="107">
        <v>1</v>
      </c>
      <c r="AO70" s="87">
        <v>0</v>
      </c>
    </row>
    <row r="71" spans="35:41" ht="12.75">
      <c r="AI71" s="106">
        <v>15000.01</v>
      </c>
      <c r="AJ71" s="106">
        <f>ROUND(1338*AL70,2)</f>
        <v>1839.75</v>
      </c>
      <c r="AN71" s="107">
        <v>10</v>
      </c>
      <c r="AO71" s="133">
        <f>+AO67</f>
        <v>1</v>
      </c>
    </row>
    <row r="72" spans="35:41" ht="12.75">
      <c r="AI72" s="106">
        <v>55000.01</v>
      </c>
      <c r="AJ72" s="106">
        <v>0</v>
      </c>
      <c r="AN72" s="12"/>
      <c r="AO72" s="83"/>
    </row>
    <row r="73" spans="35:36" ht="12.75">
      <c r="AI73" s="106">
        <v>100000000</v>
      </c>
      <c r="AJ73" s="106">
        <v>0</v>
      </c>
    </row>
    <row r="75" spans="35:36" ht="12.75">
      <c r="AI75" s="108">
        <v>0</v>
      </c>
      <c r="AJ75" s="87">
        <v>0</v>
      </c>
    </row>
    <row r="76" spans="35:36" ht="12.75">
      <c r="AI76" s="108">
        <v>23000.01</v>
      </c>
      <c r="AJ76" s="87">
        <v>10</v>
      </c>
    </row>
    <row r="77" spans="35:36" ht="12.75">
      <c r="AI77" s="108">
        <v>24000.01</v>
      </c>
      <c r="AJ77" s="87">
        <v>20</v>
      </c>
    </row>
    <row r="78" spans="35:36" ht="12.75">
      <c r="AI78" s="108">
        <v>25000.01</v>
      </c>
      <c r="AJ78" s="87">
        <v>30</v>
      </c>
    </row>
    <row r="79" spans="35:36" ht="12.75">
      <c r="AI79" s="108">
        <v>26000.01</v>
      </c>
      <c r="AJ79" s="87">
        <v>40</v>
      </c>
    </row>
    <row r="80" spans="35:36" ht="12.75">
      <c r="AI80" s="108">
        <v>27700.01</v>
      </c>
      <c r="AJ80" s="87">
        <v>25</v>
      </c>
    </row>
    <row r="81" spans="1:36" ht="12.75">
      <c r="A81" s="4"/>
      <c r="AI81" s="108">
        <v>28000.01</v>
      </c>
      <c r="AJ81" s="87">
        <v>0</v>
      </c>
    </row>
    <row r="111" ht="12.75">
      <c r="A111" s="4" t="s">
        <v>100</v>
      </c>
    </row>
    <row r="124" ht="12.75">
      <c r="A124" s="90"/>
    </row>
  </sheetData>
  <sheetProtection password="BE24" sheet="1" objects="1" scenarios="1" selectLockedCells="1"/>
  <mergeCells count="164">
    <mergeCell ref="A48:N48"/>
    <mergeCell ref="A49:N49"/>
    <mergeCell ref="A50:D50"/>
    <mergeCell ref="E50:F50"/>
    <mergeCell ref="K50:N50"/>
    <mergeCell ref="A47:N47"/>
    <mergeCell ref="Q16:T16"/>
    <mergeCell ref="U16:W16"/>
    <mergeCell ref="H17:K17"/>
    <mergeCell ref="H16:K16"/>
    <mergeCell ref="A16:D16"/>
    <mergeCell ref="E16:G16"/>
    <mergeCell ref="H18:K18"/>
    <mergeCell ref="A17:D17"/>
    <mergeCell ref="Q37:AB37"/>
    <mergeCell ref="AD5:AF5"/>
    <mergeCell ref="AU30:AW38"/>
    <mergeCell ref="A15:D15"/>
    <mergeCell ref="A14:D14"/>
    <mergeCell ref="U14:W14"/>
    <mergeCell ref="E17:G17"/>
    <mergeCell ref="A20:P20"/>
    <mergeCell ref="X16:AA16"/>
    <mergeCell ref="A21:C21"/>
    <mergeCell ref="AC16:AD16"/>
    <mergeCell ref="Z4:AA4"/>
    <mergeCell ref="V6:Z6"/>
    <mergeCell ref="AB6:AC6"/>
    <mergeCell ref="T6:U6"/>
    <mergeCell ref="X15:AA15"/>
    <mergeCell ref="U9:W9"/>
    <mergeCell ref="X7:AB7"/>
    <mergeCell ref="X9:AA9"/>
    <mergeCell ref="X10:AA10"/>
    <mergeCell ref="U8:W8"/>
    <mergeCell ref="X8:AA8"/>
    <mergeCell ref="AU1:AW2"/>
    <mergeCell ref="AU21:AW25"/>
    <mergeCell ref="AU4:AW4"/>
    <mergeCell ref="AU5:AW5"/>
    <mergeCell ref="AU3:AW3"/>
    <mergeCell ref="T55:W55"/>
    <mergeCell ref="X55:Y55"/>
    <mergeCell ref="X14:AA14"/>
    <mergeCell ref="U13:W13"/>
    <mergeCell ref="X13:AA13"/>
    <mergeCell ref="X17:AA17"/>
    <mergeCell ref="X54:Z54"/>
    <mergeCell ref="U17:W17"/>
    <mergeCell ref="Q41:AB41"/>
    <mergeCell ref="Q38:AB38"/>
    <mergeCell ref="Q33:S33"/>
    <mergeCell ref="Q21:S21"/>
    <mergeCell ref="Q43:V43"/>
    <mergeCell ref="Q39:AB39"/>
    <mergeCell ref="Q36:AF36"/>
    <mergeCell ref="AF25:AF27"/>
    <mergeCell ref="R24:T24"/>
    <mergeCell ref="U24:W24"/>
    <mergeCell ref="X24:Z24"/>
    <mergeCell ref="Q35:AF35"/>
    <mergeCell ref="AC25:AE27"/>
    <mergeCell ref="AA33:AE34"/>
    <mergeCell ref="AD52:AE52"/>
    <mergeCell ref="AE48:AF48"/>
    <mergeCell ref="AE46:AF46"/>
    <mergeCell ref="Y43:AB43"/>
    <mergeCell ref="AA44:AD44"/>
    <mergeCell ref="X52:Z52"/>
    <mergeCell ref="AD55:AE55"/>
    <mergeCell ref="AD54:AE54"/>
    <mergeCell ref="Q42:AF42"/>
    <mergeCell ref="Q52:T52"/>
    <mergeCell ref="AA53:AB53"/>
    <mergeCell ref="X53:Z53"/>
    <mergeCell ref="U52:W52"/>
    <mergeCell ref="Q53:T53"/>
    <mergeCell ref="Q54:T54"/>
    <mergeCell ref="Q55:R55"/>
    <mergeCell ref="Q3:AF3"/>
    <mergeCell ref="T5:Y5"/>
    <mergeCell ref="Z5:AB5"/>
    <mergeCell ref="AK59:AK60"/>
    <mergeCell ref="Q40:AF40"/>
    <mergeCell ref="AA54:AB54"/>
    <mergeCell ref="AE49:AF49"/>
    <mergeCell ref="AE47:AF47"/>
    <mergeCell ref="AA52:AB52"/>
    <mergeCell ref="AD53:AE53"/>
    <mergeCell ref="AH36:AH37"/>
    <mergeCell ref="AH40:AH41"/>
    <mergeCell ref="AI1:AL1"/>
    <mergeCell ref="AI12:AM12"/>
    <mergeCell ref="AI19:AI57"/>
    <mergeCell ref="AJ19:AJ37"/>
    <mergeCell ref="AJ39:AJ42"/>
    <mergeCell ref="Q1:AF1"/>
    <mergeCell ref="Q2:AF2"/>
    <mergeCell ref="AF33:AF34"/>
    <mergeCell ref="U15:W15"/>
    <mergeCell ref="Q7:W7"/>
    <mergeCell ref="Q6:S6"/>
    <mergeCell ref="Q20:AF20"/>
    <mergeCell ref="U10:W10"/>
    <mergeCell ref="U11:W11"/>
    <mergeCell ref="U12:W12"/>
    <mergeCell ref="N5:P5"/>
    <mergeCell ref="A1:P1"/>
    <mergeCell ref="A2:P2"/>
    <mergeCell ref="A3:P3"/>
    <mergeCell ref="J4:K4"/>
    <mergeCell ref="B4:G4"/>
    <mergeCell ref="E8:G8"/>
    <mergeCell ref="H8:K8"/>
    <mergeCell ref="D5:I5"/>
    <mergeCell ref="J5:L5"/>
    <mergeCell ref="C6:G6"/>
    <mergeCell ref="A7:G7"/>
    <mergeCell ref="H7:L7"/>
    <mergeCell ref="A6:B6"/>
    <mergeCell ref="I6:K6"/>
    <mergeCell ref="E13:G13"/>
    <mergeCell ref="E14:G14"/>
    <mergeCell ref="E15:G15"/>
    <mergeCell ref="H15:K15"/>
    <mergeCell ref="H14:K14"/>
    <mergeCell ref="H13:K13"/>
    <mergeCell ref="A33:C33"/>
    <mergeCell ref="K33:O34"/>
    <mergeCell ref="P33:P34"/>
    <mergeCell ref="M28:P29"/>
    <mergeCell ref="M25:O27"/>
    <mergeCell ref="B24:D24"/>
    <mergeCell ref="E24:G24"/>
    <mergeCell ref="P25:P27"/>
    <mergeCell ref="A43:F43"/>
    <mergeCell ref="I43:L43"/>
    <mergeCell ref="K44:N44"/>
    <mergeCell ref="O46:P46"/>
    <mergeCell ref="A46:N46"/>
    <mergeCell ref="M6:P6"/>
    <mergeCell ref="O47:P47"/>
    <mergeCell ref="A39:L39"/>
    <mergeCell ref="A40:P40"/>
    <mergeCell ref="A41:L41"/>
    <mergeCell ref="A42:P42"/>
    <mergeCell ref="A35:P35"/>
    <mergeCell ref="A36:P36"/>
    <mergeCell ref="E11:G11"/>
    <mergeCell ref="E12:G12"/>
    <mergeCell ref="E9:G9"/>
    <mergeCell ref="H9:K9"/>
    <mergeCell ref="E10:G10"/>
    <mergeCell ref="H10:K10"/>
    <mergeCell ref="O50:P50"/>
    <mergeCell ref="X12:AA12"/>
    <mergeCell ref="H11:K11"/>
    <mergeCell ref="X11:AA11"/>
    <mergeCell ref="O48:P48"/>
    <mergeCell ref="O49:P49"/>
    <mergeCell ref="A37:L37"/>
    <mergeCell ref="A38:L38"/>
    <mergeCell ref="H24:J24"/>
    <mergeCell ref="H12:K12"/>
  </mergeCells>
  <conditionalFormatting sqref="Z27">
    <cfRule type="expression" priority="1" dxfId="0" stopIfTrue="1">
      <formula>$T$23&gt;2</formula>
    </cfRule>
  </conditionalFormatting>
  <conditionalFormatting sqref="Z28">
    <cfRule type="expression" priority="2" dxfId="0" stopIfTrue="1">
      <formula>$T$23&gt;3</formula>
    </cfRule>
  </conditionalFormatting>
  <conditionalFormatting sqref="Z29">
    <cfRule type="expression" priority="3" dxfId="0" stopIfTrue="1">
      <formula>$T$23&gt;4</formula>
    </cfRule>
  </conditionalFormatting>
  <conditionalFormatting sqref="Z30">
    <cfRule type="expression" priority="4" dxfId="0" stopIfTrue="1">
      <formula>$T$23&gt;5</formula>
    </cfRule>
  </conditionalFormatting>
  <conditionalFormatting sqref="Z31">
    <cfRule type="expression" priority="5" dxfId="0" stopIfTrue="1">
      <formula>$T$23&gt;6</formula>
    </cfRule>
  </conditionalFormatting>
  <conditionalFormatting sqref="AB25">
    <cfRule type="expression" priority="6" dxfId="1" stopIfTrue="1">
      <formula>$T$23&gt;0</formula>
    </cfRule>
  </conditionalFormatting>
  <conditionalFormatting sqref="AB26">
    <cfRule type="expression" priority="7" dxfId="1" stopIfTrue="1">
      <formula>$T$23&gt;1</formula>
    </cfRule>
  </conditionalFormatting>
  <conditionalFormatting sqref="AB27">
    <cfRule type="expression" priority="8" dxfId="1" stopIfTrue="1">
      <formula>$T$23&gt;2</formula>
    </cfRule>
  </conditionalFormatting>
  <conditionalFormatting sqref="AB28">
    <cfRule type="expression" priority="9" dxfId="1" stopIfTrue="1">
      <formula>$T$23&gt;3</formula>
    </cfRule>
  </conditionalFormatting>
  <conditionalFormatting sqref="AB29">
    <cfRule type="expression" priority="10" dxfId="1" stopIfTrue="1">
      <formula>$T$23&gt;4</formula>
    </cfRule>
  </conditionalFormatting>
  <conditionalFormatting sqref="AB30">
    <cfRule type="expression" priority="11" dxfId="1" stopIfTrue="1">
      <formula>$T$23&gt;5</formula>
    </cfRule>
  </conditionalFormatting>
  <conditionalFormatting sqref="AB31">
    <cfRule type="expression" priority="12" dxfId="1" stopIfTrue="1">
      <formula>$T$23&gt;6</formula>
    </cfRule>
  </conditionalFormatting>
  <conditionalFormatting sqref="Q26">
    <cfRule type="expression" priority="13" dxfId="2" stopIfTrue="1">
      <formula>$T$23&gt;1</formula>
    </cfRule>
  </conditionalFormatting>
  <conditionalFormatting sqref="Q25 T25 W25 Z25 G25 D25">
    <cfRule type="expression" priority="14" dxfId="2" stopIfTrue="1">
      <formula>$T$23&gt;0</formula>
    </cfRule>
  </conditionalFormatting>
  <conditionalFormatting sqref="R25 J25:K25">
    <cfRule type="expression" priority="15" dxfId="3" stopIfTrue="1">
      <formula>$T$23&gt;0</formula>
    </cfRule>
  </conditionalFormatting>
  <conditionalFormatting sqref="U25 X25 E25 H25">
    <cfRule type="expression" priority="16" dxfId="4" stopIfTrue="1">
      <formula>$T$23&gt;0</formula>
    </cfRule>
  </conditionalFormatting>
  <conditionalFormatting sqref="Y21">
    <cfRule type="expression" priority="17" dxfId="5" stopIfTrue="1">
      <formula>$T$21="si"</formula>
    </cfRule>
  </conditionalFormatting>
  <conditionalFormatting sqref="AD23 AA25 C25 F25 I25 V25:V31 S25:S31 Y25:Y31">
    <cfRule type="expression" priority="18" dxfId="5" stopIfTrue="1">
      <formula>$T$23&gt;0</formula>
    </cfRule>
  </conditionalFormatting>
  <conditionalFormatting sqref="AF23">
    <cfRule type="expression" priority="19" dxfId="5" stopIfTrue="1">
      <formula>$AD$23&gt;0</formula>
    </cfRule>
  </conditionalFormatting>
  <conditionalFormatting sqref="F26 C26 I26 AA26">
    <cfRule type="expression" priority="20" dxfId="5" stopIfTrue="1">
      <formula>$T$23&gt;1</formula>
    </cfRule>
  </conditionalFormatting>
  <conditionalFormatting sqref="F27 C27 I27 AA27">
    <cfRule type="expression" priority="21" dxfId="5" stopIfTrue="1">
      <formula>$T$23&gt;2</formula>
    </cfRule>
  </conditionalFormatting>
  <conditionalFormatting sqref="F28 C28 I28 AA28">
    <cfRule type="expression" priority="22" dxfId="5" stopIfTrue="1">
      <formula>$T$23&gt;3</formula>
    </cfRule>
  </conditionalFormatting>
  <conditionalFormatting sqref="F29 C29 I29 AA29">
    <cfRule type="expression" priority="23" dxfId="5" stopIfTrue="1">
      <formula>$T$23&gt;4</formula>
    </cfRule>
  </conditionalFormatting>
  <conditionalFormatting sqref="AA30">
    <cfRule type="expression" priority="24" dxfId="5" stopIfTrue="1">
      <formula>$T$23&gt;5</formula>
    </cfRule>
  </conditionalFormatting>
  <conditionalFormatting sqref="AA31">
    <cfRule type="expression" priority="25" dxfId="5" stopIfTrue="1">
      <formula>$T$23&gt;6</formula>
    </cfRule>
  </conditionalFormatting>
  <conditionalFormatting sqref="Y34">
    <cfRule type="expression" priority="26" dxfId="5" stopIfTrue="1">
      <formula>$T$33="si"</formula>
    </cfRule>
  </conditionalFormatting>
  <conditionalFormatting sqref="Y33 AF33:AF34 P33:P34">
    <cfRule type="expression" priority="27" dxfId="5" stopIfTrue="1">
      <formula>$T$33&gt;0</formula>
    </cfRule>
  </conditionalFormatting>
  <conditionalFormatting sqref="AA33:AE34 K33:O34">
    <cfRule type="expression" priority="28" dxfId="1" stopIfTrue="1">
      <formula>$T$33&gt;0</formula>
    </cfRule>
  </conditionalFormatting>
  <conditionalFormatting sqref="R26 T26:U26 W26:X26 Z26 G26:H26 D26:E26 J26:K26">
    <cfRule type="expression" priority="29" dxfId="3" stopIfTrue="1">
      <formula>$T$23&gt;1</formula>
    </cfRule>
  </conditionalFormatting>
  <conditionalFormatting sqref="R27 T27:U27 W27:X27 G27:H27 D27:E27 J27:K27">
    <cfRule type="expression" priority="30" dxfId="3" stopIfTrue="1">
      <formula>$T$23&gt;2</formula>
    </cfRule>
  </conditionalFormatting>
  <conditionalFormatting sqref="Q27">
    <cfRule type="expression" priority="31" dxfId="2" stopIfTrue="1">
      <formula>$T$23&gt;2</formula>
    </cfRule>
  </conditionalFormatting>
  <conditionalFormatting sqref="Q28">
    <cfRule type="expression" priority="32" dxfId="2" stopIfTrue="1">
      <formula>$T$23&gt;3</formula>
    </cfRule>
  </conditionalFormatting>
  <conditionalFormatting sqref="R28 T28:U28 W28:X28 G28:H28 D28:E28 J28:K28">
    <cfRule type="expression" priority="33" dxfId="3" stopIfTrue="1">
      <formula>$T$23&gt;3</formula>
    </cfRule>
  </conditionalFormatting>
  <conditionalFormatting sqref="Q29">
    <cfRule type="expression" priority="34" dxfId="2" stopIfTrue="1">
      <formula>$T$23&gt;4</formula>
    </cfRule>
  </conditionalFormatting>
  <conditionalFormatting sqref="R29 T29:U29 W29:X29 G29:H29 D29:E29 J29:K29">
    <cfRule type="expression" priority="35" dxfId="3" stopIfTrue="1">
      <formula>$T$23&gt;4</formula>
    </cfRule>
  </conditionalFormatting>
  <conditionalFormatting sqref="Q30">
    <cfRule type="expression" priority="36" dxfId="2" stopIfTrue="1">
      <formula>$T$23&gt;5</formula>
    </cfRule>
  </conditionalFormatting>
  <conditionalFormatting sqref="R30 T30:U30 W30:X30">
    <cfRule type="expression" priority="37" dxfId="3" stopIfTrue="1">
      <formula>$T$23&gt;5</formula>
    </cfRule>
  </conditionalFormatting>
  <conditionalFormatting sqref="Q31">
    <cfRule type="expression" priority="38" dxfId="2" stopIfTrue="1">
      <formula>$T$23&gt;6</formula>
    </cfRule>
  </conditionalFormatting>
  <conditionalFormatting sqref="R31 T31:U31 W31:X31">
    <cfRule type="expression" priority="39" dxfId="3" stopIfTrue="1">
      <formula>$T$23&gt;6</formula>
    </cfRule>
  </conditionalFormatting>
  <conditionalFormatting sqref="L25">
    <cfRule type="expression" priority="40" dxfId="1" stopIfTrue="1">
      <formula>$D$23&gt;0</formula>
    </cfRule>
  </conditionalFormatting>
  <conditionalFormatting sqref="N23">
    <cfRule type="expression" priority="41" dxfId="5" stopIfTrue="1">
      <formula>$D$23&gt;0</formula>
    </cfRule>
  </conditionalFormatting>
  <conditionalFormatting sqref="C30 F30 I30">
    <cfRule type="expression" priority="42" dxfId="5" stopIfTrue="1">
      <formula>$D$23&gt;5</formula>
    </cfRule>
  </conditionalFormatting>
  <conditionalFormatting sqref="C31 F31 I31">
    <cfRule type="expression" priority="43" dxfId="5" stopIfTrue="1">
      <formula>$D$23&gt;6</formula>
    </cfRule>
  </conditionalFormatting>
  <conditionalFormatting sqref="I34">
    <cfRule type="expression" priority="44" dxfId="5" stopIfTrue="1">
      <formula>$D$33="si"</formula>
    </cfRule>
  </conditionalFormatting>
  <conditionalFormatting sqref="A30">
    <cfRule type="expression" priority="45" dxfId="2" stopIfTrue="1">
      <formula>$D$23&gt;5</formula>
    </cfRule>
  </conditionalFormatting>
  <conditionalFormatting sqref="G30:H30 D30:E30 B30 J30:K30">
    <cfRule type="expression" priority="46" dxfId="3" stopIfTrue="1">
      <formula>$D$23&gt;5</formula>
    </cfRule>
  </conditionalFormatting>
  <conditionalFormatting sqref="A31">
    <cfRule type="expression" priority="47" dxfId="2" stopIfTrue="1">
      <formula>$D$23&gt;6</formula>
    </cfRule>
  </conditionalFormatting>
  <conditionalFormatting sqref="G31:H31 D31:E31 B31 J31:K31">
    <cfRule type="expression" priority="48" dxfId="3" stopIfTrue="1">
      <formula>$D$23&gt;6</formula>
    </cfRule>
  </conditionalFormatting>
  <conditionalFormatting sqref="A26">
    <cfRule type="expression" priority="49" dxfId="2" stopIfTrue="1">
      <formula>$D$23&gt;1</formula>
    </cfRule>
  </conditionalFormatting>
  <conditionalFormatting sqref="A25">
    <cfRule type="expression" priority="50" dxfId="2" stopIfTrue="1">
      <formula>$D$23&gt;0</formula>
    </cfRule>
  </conditionalFormatting>
  <conditionalFormatting sqref="B25">
    <cfRule type="expression" priority="51" dxfId="3" stopIfTrue="1">
      <formula>$D$23&gt;0</formula>
    </cfRule>
  </conditionalFormatting>
  <conditionalFormatting sqref="B26">
    <cfRule type="expression" priority="52" dxfId="3" stopIfTrue="1">
      <formula>$D$23&gt;1</formula>
    </cfRule>
  </conditionalFormatting>
  <conditionalFormatting sqref="B27">
    <cfRule type="expression" priority="53" dxfId="3" stopIfTrue="1">
      <formula>$D$23&gt;2</formula>
    </cfRule>
  </conditionalFormatting>
  <conditionalFormatting sqref="A27">
    <cfRule type="expression" priority="54" dxfId="2" stopIfTrue="1">
      <formula>$D$23&gt;2</formula>
    </cfRule>
  </conditionalFormatting>
  <conditionalFormatting sqref="A28">
    <cfRule type="expression" priority="55" dxfId="2" stopIfTrue="1">
      <formula>$D$23&gt;3</formula>
    </cfRule>
  </conditionalFormatting>
  <conditionalFormatting sqref="B28">
    <cfRule type="expression" priority="56" dxfId="3" stopIfTrue="1">
      <formula>$D$23&gt;3</formula>
    </cfRule>
  </conditionalFormatting>
  <conditionalFormatting sqref="A29">
    <cfRule type="expression" priority="57" dxfId="2" stopIfTrue="1">
      <formula>$D$23&gt;4</formula>
    </cfRule>
  </conditionalFormatting>
  <conditionalFormatting sqref="B29">
    <cfRule type="expression" priority="58" dxfId="3" stopIfTrue="1">
      <formula>$D$23&gt;4</formula>
    </cfRule>
  </conditionalFormatting>
  <conditionalFormatting sqref="L27">
    <cfRule type="expression" priority="59" dxfId="1" stopIfTrue="1">
      <formula>$D$23&gt;2</formula>
    </cfRule>
  </conditionalFormatting>
  <conditionalFormatting sqref="L28">
    <cfRule type="expression" priority="60" dxfId="1" stopIfTrue="1">
      <formula>$D$23&gt;3</formula>
    </cfRule>
  </conditionalFormatting>
  <conditionalFormatting sqref="L29">
    <cfRule type="expression" priority="61" dxfId="1" stopIfTrue="1">
      <formula>$D$23&gt;4</formula>
    </cfRule>
  </conditionalFormatting>
  <conditionalFormatting sqref="L30">
    <cfRule type="expression" priority="62" dxfId="1" stopIfTrue="1">
      <formula>$D$23&gt;5</formula>
    </cfRule>
  </conditionalFormatting>
  <conditionalFormatting sqref="L31">
    <cfRule type="expression" priority="63" dxfId="1" stopIfTrue="1">
      <formula>$D$23&gt;6</formula>
    </cfRule>
  </conditionalFormatting>
  <conditionalFormatting sqref="L26">
    <cfRule type="expression" priority="64" dxfId="1" stopIfTrue="1">
      <formula>$D$23&gt;1</formula>
    </cfRule>
  </conditionalFormatting>
  <printOptions/>
  <pageMargins left="0.1968503937007874" right="0" top="0.984251968503937" bottom="0.5905511811023623" header="0.5118110236220472" footer="0.5118110236220472"/>
  <pageSetup blackAndWhite="1" horizontalDpi="360" verticalDpi="360" orientation="portrait" paperSize="9" scale="9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8"/>
  <dimension ref="A1:BG124"/>
  <sheetViews>
    <sheetView workbookViewId="0" topLeftCell="A1">
      <selection activeCell="E8" sqref="E8:G8"/>
    </sheetView>
  </sheetViews>
  <sheetFormatPr defaultColWidth="9.33203125" defaultRowHeight="12.75"/>
  <cols>
    <col min="1" max="1" width="15.5" style="0" customWidth="1"/>
    <col min="2" max="10" width="4.83203125" style="0" customWidth="1"/>
    <col min="11" max="11" width="11.66015625" style="0" bestFit="1" customWidth="1"/>
    <col min="12" max="13" width="11.83203125" style="0" customWidth="1"/>
    <col min="14" max="14" width="4.83203125" style="0" customWidth="1"/>
    <col min="15" max="15" width="12.83203125" style="0" customWidth="1"/>
    <col min="16" max="16" width="9.16015625" style="0" customWidth="1"/>
    <col min="17" max="17" width="15.5" style="0" hidden="1" customWidth="1"/>
    <col min="18" max="26" width="4.83203125" style="0" hidden="1" customWidth="1"/>
    <col min="27" max="27" width="11.66015625" style="0" hidden="1" customWidth="1"/>
    <col min="28" max="29" width="11.83203125" style="0" hidden="1" customWidth="1"/>
    <col min="30" max="30" width="4.83203125" style="0" hidden="1" customWidth="1"/>
    <col min="31" max="31" width="12.83203125" style="0" hidden="1" customWidth="1"/>
    <col min="32" max="32" width="11" style="0" hidden="1" customWidth="1"/>
    <col min="33" max="33" width="5.16015625" style="0" hidden="1" customWidth="1"/>
    <col min="34" max="34" width="10.5" style="0" hidden="1" customWidth="1"/>
    <col min="35" max="35" width="15.16015625" style="0" hidden="1" customWidth="1"/>
    <col min="36" max="36" width="16.83203125" style="0" hidden="1" customWidth="1"/>
    <col min="37" max="37" width="6.66015625" style="0" hidden="1" customWidth="1"/>
    <col min="38" max="38" width="12.83203125" style="0" hidden="1" customWidth="1"/>
    <col min="39" max="39" width="11.5" style="0" hidden="1" customWidth="1"/>
    <col min="40" max="45" width="0" style="0" hidden="1" customWidth="1"/>
    <col min="46" max="46" width="3.66015625" style="0" customWidth="1"/>
    <col min="49" max="49" width="13.66015625" style="0" customWidth="1"/>
  </cols>
  <sheetData>
    <row r="1" spans="1:59" ht="16.5" thickTop="1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3"/>
      <c r="Q1" s="201" t="s">
        <v>0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3"/>
      <c r="AI1" s="185" t="s">
        <v>29</v>
      </c>
      <c r="AJ1" s="185"/>
      <c r="AK1" s="185"/>
      <c r="AL1" s="185"/>
      <c r="AM1" s="135" t="s">
        <v>68</v>
      </c>
      <c r="AT1" s="77"/>
      <c r="AU1" s="247" t="s">
        <v>84</v>
      </c>
      <c r="AV1" s="248"/>
      <c r="AW1" s="249"/>
      <c r="AX1" s="77"/>
      <c r="AY1" s="77"/>
      <c r="AZ1" s="77"/>
      <c r="BA1" s="77"/>
      <c r="BB1" s="77"/>
      <c r="BC1" s="77"/>
      <c r="BD1" s="77"/>
      <c r="BE1" s="77"/>
      <c r="BF1" s="77"/>
      <c r="BG1" s="77"/>
    </row>
    <row r="2" spans="1:59" ht="15.75">
      <c r="A2" s="350" t="str">
        <f>+Gen!A2</f>
        <v>TRIBUNALE DI TERMINI IMERESE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2"/>
      <c r="Q2" s="204" t="s">
        <v>1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6"/>
      <c r="AI2" s="5" t="s">
        <v>30</v>
      </c>
      <c r="AJ2" s="5" t="s">
        <v>31</v>
      </c>
      <c r="AK2" s="6" t="s">
        <v>18</v>
      </c>
      <c r="AL2" s="5" t="s">
        <v>37</v>
      </c>
      <c r="AN2" s="134"/>
      <c r="AT2" s="77"/>
      <c r="AU2" s="250"/>
      <c r="AV2" s="251"/>
      <c r="AW2" s="252"/>
      <c r="AX2" s="77"/>
      <c r="AY2" s="77"/>
      <c r="AZ2" s="77"/>
      <c r="BA2" s="77"/>
      <c r="BB2" s="77"/>
      <c r="BC2" s="77"/>
      <c r="BD2" s="77"/>
      <c r="BE2" s="77"/>
      <c r="BF2" s="77"/>
      <c r="BG2" s="77"/>
    </row>
    <row r="3" spans="1:59" ht="15.75">
      <c r="A3" s="207" t="s">
        <v>110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9"/>
      <c r="Q3" s="207" t="s">
        <v>85</v>
      </c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9"/>
      <c r="AI3" s="7">
        <v>1</v>
      </c>
      <c r="AJ3" s="7">
        <f>+Aliquote!C6</f>
        <v>15000</v>
      </c>
      <c r="AK3" s="8">
        <f>+Aliquote!D6</f>
        <v>0.23</v>
      </c>
      <c r="AL3" s="9"/>
      <c r="AT3" s="77"/>
      <c r="AU3" s="268"/>
      <c r="AV3" s="269"/>
      <c r="AW3" s="270"/>
      <c r="AX3" s="77"/>
      <c r="AY3" s="77"/>
      <c r="AZ3" s="77"/>
      <c r="BA3" s="77"/>
      <c r="BB3" s="77"/>
      <c r="BC3" s="77"/>
      <c r="BD3" s="77"/>
      <c r="BE3" s="77"/>
      <c r="BF3" s="77"/>
      <c r="BG3" s="77"/>
    </row>
    <row r="4" spans="1:59" ht="12.75" customHeight="1">
      <c r="A4" s="150" t="s">
        <v>138</v>
      </c>
      <c r="B4" s="163" t="str">
        <f>IF(Gen!B4&gt;0,Gen!B4,Vuota1)</f>
        <v>        </v>
      </c>
      <c r="C4" s="154"/>
      <c r="D4" s="154"/>
      <c r="E4" s="154"/>
      <c r="F4" s="154"/>
      <c r="G4" s="164"/>
      <c r="H4" s="58"/>
      <c r="I4" s="58"/>
      <c r="J4" s="345" t="s">
        <v>125</v>
      </c>
      <c r="K4" s="346"/>
      <c r="L4" s="149">
        <f>IF(Gen!L4&gt;0,Gen!L4,Vuota1)</f>
        <v>2007</v>
      </c>
      <c r="M4" s="20"/>
      <c r="N4" s="58"/>
      <c r="O4" s="58"/>
      <c r="P4" s="33"/>
      <c r="Q4" s="20"/>
      <c r="R4" s="58"/>
      <c r="S4" s="58"/>
      <c r="T4" s="58"/>
      <c r="U4" s="58"/>
      <c r="V4" s="58"/>
      <c r="W4" s="58"/>
      <c r="X4" s="58"/>
      <c r="Y4" s="58"/>
      <c r="Z4" s="213" t="s">
        <v>2</v>
      </c>
      <c r="AA4" s="213"/>
      <c r="AB4" s="2">
        <v>2007</v>
      </c>
      <c r="AC4" s="20"/>
      <c r="AD4" s="58"/>
      <c r="AE4" s="58"/>
      <c r="AF4" s="33"/>
      <c r="AI4" s="7">
        <f>+AJ3+0.01</f>
        <v>15000.01</v>
      </c>
      <c r="AJ4" s="7">
        <f>+Aliquote!C7</f>
        <v>28000</v>
      </c>
      <c r="AK4" s="8">
        <f>+Aliquote!D7</f>
        <v>0.27</v>
      </c>
      <c r="AL4" s="7">
        <f>ROUND(AI4*AK3,2)</f>
        <v>3450</v>
      </c>
      <c r="AT4" s="77"/>
      <c r="AU4" s="262" t="s">
        <v>81</v>
      </c>
      <c r="AV4" s="263"/>
      <c r="AW4" s="264"/>
      <c r="AX4" s="77"/>
      <c r="AY4" s="77"/>
      <c r="AZ4" s="77"/>
      <c r="BA4" s="77"/>
      <c r="BB4" s="77"/>
      <c r="BC4" s="77"/>
      <c r="BD4" s="77"/>
      <c r="BE4" s="77"/>
      <c r="BF4" s="77"/>
      <c r="BG4" s="77"/>
    </row>
    <row r="5" spans="1:59" ht="16.5" thickBot="1">
      <c r="A5" s="59" t="s">
        <v>3</v>
      </c>
      <c r="B5" s="60"/>
      <c r="C5" s="52" t="str">
        <f>IF(Gen!C5&gt;0,Gen!C5,Vuota1)</f>
        <v>C1</v>
      </c>
      <c r="D5" s="347" t="str">
        <f>IF(Gen!D5&gt;0,Gen!D5,Vuota1)</f>
        <v>        </v>
      </c>
      <c r="E5" s="348" t="e">
        <f>IF(#REF!&gt;0,#REF!,Vuota1)</f>
        <v>#REF!</v>
      </c>
      <c r="F5" s="348" t="e">
        <f>IF(#REF!&gt;0,#REF!,Vuota1)</f>
        <v>#REF!</v>
      </c>
      <c r="G5" s="348" t="e">
        <f>IF(#REF!&gt;0,#REF!,Vuota1)</f>
        <v>#REF!</v>
      </c>
      <c r="H5" s="348" t="e">
        <f>IF(#REF!&gt;0,#REF!,Vuota1)</f>
        <v>#REF!</v>
      </c>
      <c r="I5" s="348" t="e">
        <f>IF(#REF!&gt;0,#REF!,Vuota1)</f>
        <v>#REF!</v>
      </c>
      <c r="J5" s="348" t="str">
        <f>IF(Gen!J5&gt;0,Gen!J5,Vuota1)</f>
        <v>        </v>
      </c>
      <c r="K5" s="348" t="e">
        <f>IF(#REF!&gt;0,#REF!,Vuota1)</f>
        <v>#REF!</v>
      </c>
      <c r="L5" s="349" t="e">
        <f>IF(#REF!&gt;0,#REF!,Vuota1)</f>
        <v>#REF!</v>
      </c>
      <c r="M5" s="61" t="s">
        <v>5</v>
      </c>
      <c r="N5" s="163" t="str">
        <f>IF(Gen!N5&gt;0,Gen!N5,Vuota1)</f>
        <v>        </v>
      </c>
      <c r="O5" s="154" t="e">
        <f>IF(#REF!&gt;0,#REF!,Vuota1)</f>
        <v>#REF!</v>
      </c>
      <c r="P5" s="164" t="e">
        <f>IF(#REF!&gt;0,#REF!,Vuota1)</f>
        <v>#REF!</v>
      </c>
      <c r="Q5" s="59" t="s">
        <v>3</v>
      </c>
      <c r="R5" s="60"/>
      <c r="S5" s="2" t="s">
        <v>4</v>
      </c>
      <c r="T5" s="211"/>
      <c r="U5" s="211"/>
      <c r="V5" s="211"/>
      <c r="W5" s="211"/>
      <c r="X5" s="211"/>
      <c r="Y5" s="211"/>
      <c r="Z5" s="211"/>
      <c r="AA5" s="211"/>
      <c r="AB5" s="313"/>
      <c r="AC5" s="61" t="s">
        <v>5</v>
      </c>
      <c r="AD5" s="214"/>
      <c r="AE5" s="215"/>
      <c r="AF5" s="216"/>
      <c r="AH5" s="21"/>
      <c r="AI5" s="7">
        <f>+AJ4+0.01</f>
        <v>28000.01</v>
      </c>
      <c r="AJ5" s="7">
        <f>+Aliquote!C8</f>
        <v>55000</v>
      </c>
      <c r="AK5" s="8">
        <f>+Aliquote!D8</f>
        <v>0.38</v>
      </c>
      <c r="AL5" s="7">
        <f>ROUND((AI5-AI4)*AK4,2)+AL4</f>
        <v>6960</v>
      </c>
      <c r="AT5" s="77"/>
      <c r="AU5" s="265" t="s">
        <v>82</v>
      </c>
      <c r="AV5" s="266"/>
      <c r="AW5" s="267"/>
      <c r="AX5" s="77"/>
      <c r="AY5" s="77"/>
      <c r="AZ5" s="77"/>
      <c r="BA5" s="77"/>
      <c r="BB5" s="77"/>
      <c r="BC5" s="77"/>
      <c r="BD5" s="77"/>
      <c r="BE5" s="77"/>
      <c r="BF5" s="77"/>
      <c r="BG5" s="77"/>
    </row>
    <row r="6" spans="1:59" ht="12.75" customHeight="1" thickTop="1">
      <c r="A6" s="271" t="s">
        <v>6</v>
      </c>
      <c r="B6" s="272"/>
      <c r="C6" s="163" t="str">
        <f>IF(Gen!C6&gt;0,Gen!C6,Vuota1)</f>
        <v>        </v>
      </c>
      <c r="D6" s="213" t="e">
        <f>IF(#REF!&gt;0,#REF!,Vuota1)</f>
        <v>#REF!</v>
      </c>
      <c r="E6" s="213" t="e">
        <f>IF(#REF!&gt;0,#REF!,Vuota1)</f>
        <v>#REF!</v>
      </c>
      <c r="F6" s="213" t="e">
        <f>IF(#REF!&gt;0,#REF!,Vuota1)</f>
        <v>#REF!</v>
      </c>
      <c r="G6" s="359" t="e">
        <f>IF(#REF!&gt;0,#REF!,Vuota1)</f>
        <v>#REF!</v>
      </c>
      <c r="H6" s="60" t="s">
        <v>7</v>
      </c>
      <c r="I6" s="353" t="str">
        <f>IF(Gen!I6&gt;0,Gen!I6,Vuota1)</f>
        <v>        </v>
      </c>
      <c r="J6" s="354" t="e">
        <f>IF(#REF!&gt;0,#REF!,Vuota1)</f>
        <v>#REF!</v>
      </c>
      <c r="K6" s="355" t="e">
        <f>IF(#REF!&gt;0,#REF!,Vuota1)</f>
        <v>#REF!</v>
      </c>
      <c r="L6" s="48" t="s">
        <v>90</v>
      </c>
      <c r="M6" s="356" t="str">
        <f>IF(Gen!M6&gt;0,Gen!M6,Vuota1)</f>
        <v>        </v>
      </c>
      <c r="N6" s="357" t="e">
        <f>IF(#REF!&gt;0,#REF!,Vuota1)</f>
        <v>#REF!</v>
      </c>
      <c r="O6" s="357" t="e">
        <f>IF(#REF!&gt;0,#REF!,Vuota1)</f>
        <v>#REF!</v>
      </c>
      <c r="P6" s="358" t="e">
        <f>IF(#REF!&gt;0,#REF!,Vuota1)</f>
        <v>#REF!</v>
      </c>
      <c r="Q6" s="317"/>
      <c r="R6" s="318"/>
      <c r="S6" s="318"/>
      <c r="T6" s="302" t="s">
        <v>6</v>
      </c>
      <c r="U6" s="302"/>
      <c r="V6" s="214"/>
      <c r="W6" s="215"/>
      <c r="X6" s="215"/>
      <c r="Y6" s="215"/>
      <c r="Z6" s="216"/>
      <c r="AA6" s="60" t="s">
        <v>7</v>
      </c>
      <c r="AB6" s="300"/>
      <c r="AC6" s="301"/>
      <c r="AD6" s="20"/>
      <c r="AE6" s="20"/>
      <c r="AF6" s="62"/>
      <c r="AH6" s="21"/>
      <c r="AI6" s="7">
        <f>+AJ5+0.01</f>
        <v>55000.01</v>
      </c>
      <c r="AJ6" s="7">
        <f>+Aliquote!C9</f>
        <v>75000</v>
      </c>
      <c r="AK6" s="8">
        <f>+Aliquote!D9</f>
        <v>0.41</v>
      </c>
      <c r="AL6" s="7">
        <f>ROUND((AI6-AI5)*AK5,2)+AL5</f>
        <v>17220</v>
      </c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</row>
    <row r="7" spans="1:59" ht="12.75" customHeight="1">
      <c r="A7" s="239" t="s">
        <v>8</v>
      </c>
      <c r="B7" s="240"/>
      <c r="C7" s="240"/>
      <c r="D7" s="240"/>
      <c r="E7" s="240"/>
      <c r="F7" s="240"/>
      <c r="G7" s="240"/>
      <c r="H7" s="158" t="s">
        <v>9</v>
      </c>
      <c r="I7" s="158"/>
      <c r="J7" s="158"/>
      <c r="K7" s="158"/>
      <c r="L7" s="158"/>
      <c r="M7" s="20"/>
      <c r="N7" s="20"/>
      <c r="O7" s="20"/>
      <c r="P7" s="62"/>
      <c r="Q7" s="239" t="s">
        <v>8</v>
      </c>
      <c r="R7" s="240"/>
      <c r="S7" s="240"/>
      <c r="T7" s="240"/>
      <c r="U7" s="240"/>
      <c r="V7" s="240"/>
      <c r="W7" s="240"/>
      <c r="X7" s="158" t="s">
        <v>9</v>
      </c>
      <c r="Y7" s="158"/>
      <c r="Z7" s="158"/>
      <c r="AA7" s="158"/>
      <c r="AB7" s="158"/>
      <c r="AC7" s="20"/>
      <c r="AD7" s="20"/>
      <c r="AE7" s="20"/>
      <c r="AF7" s="62"/>
      <c r="AH7" s="21"/>
      <c r="AI7" s="7">
        <f>+AJ6+0.01</f>
        <v>75000.01</v>
      </c>
      <c r="AJ7" s="7">
        <v>1000000</v>
      </c>
      <c r="AK7" s="8">
        <f>+Aliquote!D10</f>
        <v>0.43</v>
      </c>
      <c r="AL7" s="7">
        <f>ROUND((AI7-AI6)*AK6,2)+AL6</f>
        <v>25420</v>
      </c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</row>
    <row r="8" spans="1:59" ht="12.75">
      <c r="A8" s="27" t="s">
        <v>78</v>
      </c>
      <c r="B8" s="29"/>
      <c r="C8" s="29"/>
      <c r="D8" s="23"/>
      <c r="E8" s="195"/>
      <c r="F8" s="196"/>
      <c r="G8" s="197"/>
      <c r="H8" s="273" t="s">
        <v>10</v>
      </c>
      <c r="I8" s="274"/>
      <c r="J8" s="274"/>
      <c r="K8" s="275"/>
      <c r="L8" s="1"/>
      <c r="M8" s="20"/>
      <c r="N8" s="20"/>
      <c r="O8" s="20"/>
      <c r="P8" s="62"/>
      <c r="Q8" s="27" t="s">
        <v>78</v>
      </c>
      <c r="R8" s="29"/>
      <c r="S8" s="29"/>
      <c r="T8" s="23"/>
      <c r="U8" s="195">
        <f aca="true" t="shared" si="0" ref="U8:U15">ROUND(E8*13,5)</f>
        <v>0</v>
      </c>
      <c r="V8" s="196"/>
      <c r="W8" s="197"/>
      <c r="X8" s="273" t="s">
        <v>10</v>
      </c>
      <c r="Y8" s="274"/>
      <c r="Z8" s="274"/>
      <c r="AA8" s="275"/>
      <c r="AB8" s="1">
        <f aca="true" t="shared" si="1" ref="AB8:AB17">ROUND(L8*13,5)</f>
        <v>0</v>
      </c>
      <c r="AC8" s="20"/>
      <c r="AD8" s="20"/>
      <c r="AE8" s="20"/>
      <c r="AF8" s="62"/>
      <c r="AH8" s="21"/>
      <c r="AI8" s="7">
        <f>+AJ7+0.01</f>
        <v>1000000.01</v>
      </c>
      <c r="AJ8" s="10">
        <v>2000000</v>
      </c>
      <c r="AK8" s="11">
        <f>+AK7</f>
        <v>0.43</v>
      </c>
      <c r="AL8" s="10">
        <f>ROUND((AI8-AI7)*AK7,2)+AL7</f>
        <v>423170</v>
      </c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</row>
    <row r="9" spans="1:59" ht="12.75">
      <c r="A9" s="27" t="s">
        <v>11</v>
      </c>
      <c r="B9" s="29"/>
      <c r="C9" s="29"/>
      <c r="D9" s="23"/>
      <c r="E9" s="195"/>
      <c r="F9" s="196"/>
      <c r="G9" s="197"/>
      <c r="H9" s="198" t="s">
        <v>111</v>
      </c>
      <c r="I9" s="199"/>
      <c r="J9" s="199"/>
      <c r="K9" s="200"/>
      <c r="L9" s="1"/>
      <c r="M9" s="20"/>
      <c r="N9" s="20"/>
      <c r="O9" s="20"/>
      <c r="P9" s="62"/>
      <c r="Q9" s="27" t="s">
        <v>11</v>
      </c>
      <c r="R9" s="29"/>
      <c r="S9" s="29"/>
      <c r="T9" s="23"/>
      <c r="U9" s="195">
        <f t="shared" si="0"/>
        <v>0</v>
      </c>
      <c r="V9" s="196"/>
      <c r="W9" s="197"/>
      <c r="X9" s="198" t="s">
        <v>111</v>
      </c>
      <c r="Y9" s="199"/>
      <c r="Z9" s="199"/>
      <c r="AA9" s="200"/>
      <c r="AB9" s="1">
        <f t="shared" si="1"/>
        <v>0</v>
      </c>
      <c r="AC9" s="20"/>
      <c r="AD9" s="20"/>
      <c r="AE9" s="25" t="s">
        <v>117</v>
      </c>
      <c r="AF9" s="62"/>
      <c r="AH9" s="22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</row>
    <row r="10" spans="1:59" ht="12.75">
      <c r="A10" s="27" t="s">
        <v>12</v>
      </c>
      <c r="B10" s="29"/>
      <c r="C10" s="29"/>
      <c r="D10" s="23"/>
      <c r="E10" s="195"/>
      <c r="F10" s="196"/>
      <c r="G10" s="197"/>
      <c r="H10" s="198" t="s">
        <v>112</v>
      </c>
      <c r="I10" s="199"/>
      <c r="J10" s="199"/>
      <c r="K10" s="200"/>
      <c r="L10" s="1"/>
      <c r="M10" s="20"/>
      <c r="N10" s="20"/>
      <c r="O10" s="20"/>
      <c r="P10" s="62"/>
      <c r="Q10" s="27" t="s">
        <v>12</v>
      </c>
      <c r="R10" s="29"/>
      <c r="S10" s="29"/>
      <c r="T10" s="23"/>
      <c r="U10" s="195">
        <f t="shared" si="0"/>
        <v>0</v>
      </c>
      <c r="V10" s="196"/>
      <c r="W10" s="197"/>
      <c r="X10" s="198" t="s">
        <v>112</v>
      </c>
      <c r="Y10" s="199"/>
      <c r="Z10" s="199"/>
      <c r="AA10" s="200"/>
      <c r="AB10" s="1">
        <f t="shared" si="1"/>
        <v>0</v>
      </c>
      <c r="AC10" s="20"/>
      <c r="AD10" s="20"/>
      <c r="AE10" s="145">
        <f>+Lordo-U12</f>
        <v>0</v>
      </c>
      <c r="AF10" s="62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</row>
    <row r="11" spans="1:59" ht="12.75">
      <c r="A11" s="27" t="s">
        <v>14</v>
      </c>
      <c r="B11" s="29"/>
      <c r="C11" s="29"/>
      <c r="D11" s="29"/>
      <c r="E11" s="195"/>
      <c r="F11" s="196"/>
      <c r="G11" s="197"/>
      <c r="H11" s="198" t="s">
        <v>113</v>
      </c>
      <c r="I11" s="199"/>
      <c r="J11" s="199"/>
      <c r="K11" s="200"/>
      <c r="L11" s="143">
        <f>ROUND((E10+E11)*(Aliquote!H9),2)</f>
        <v>0</v>
      </c>
      <c r="M11" s="20"/>
      <c r="N11" s="20"/>
      <c r="O11" s="20"/>
      <c r="P11" s="62"/>
      <c r="Q11" s="27" t="s">
        <v>14</v>
      </c>
      <c r="R11" s="29"/>
      <c r="S11" s="29"/>
      <c r="T11" s="29"/>
      <c r="U11" s="195">
        <f t="shared" si="0"/>
        <v>0</v>
      </c>
      <c r="V11" s="196"/>
      <c r="W11" s="197"/>
      <c r="X11" s="198" t="s">
        <v>113</v>
      </c>
      <c r="Y11" s="199"/>
      <c r="Z11" s="199"/>
      <c r="AA11" s="200"/>
      <c r="AB11" s="143">
        <f t="shared" si="1"/>
        <v>0</v>
      </c>
      <c r="AC11" s="20"/>
      <c r="AD11" s="20"/>
      <c r="AE11" s="20"/>
      <c r="AF11" s="62"/>
      <c r="AH11" s="85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</row>
    <row r="12" spans="1:59" ht="12.75">
      <c r="A12" s="27"/>
      <c r="B12" s="29"/>
      <c r="C12" s="29"/>
      <c r="D12" s="23"/>
      <c r="E12" s="404"/>
      <c r="F12" s="405"/>
      <c r="G12" s="406"/>
      <c r="H12" s="198" t="s">
        <v>114</v>
      </c>
      <c r="I12" s="199"/>
      <c r="J12" s="199"/>
      <c r="K12" s="200"/>
      <c r="L12" s="144">
        <f>ROUND((E10+E11)*(Aliquote!I9),2)</f>
        <v>0</v>
      </c>
      <c r="M12" s="20"/>
      <c r="N12" s="20"/>
      <c r="O12" s="20"/>
      <c r="P12" s="62"/>
      <c r="Q12" s="27" t="s">
        <v>16</v>
      </c>
      <c r="R12" s="29"/>
      <c r="S12" s="29"/>
      <c r="T12" s="23"/>
      <c r="U12" s="195">
        <f t="shared" si="0"/>
        <v>0</v>
      </c>
      <c r="V12" s="196"/>
      <c r="W12" s="197"/>
      <c r="X12" s="198" t="s">
        <v>114</v>
      </c>
      <c r="Y12" s="199"/>
      <c r="Z12" s="199"/>
      <c r="AA12" s="200"/>
      <c r="AB12" s="143">
        <f t="shared" si="1"/>
        <v>0</v>
      </c>
      <c r="AC12" s="91"/>
      <c r="AD12" s="20"/>
      <c r="AE12" s="20"/>
      <c r="AF12" s="62"/>
      <c r="AH12" s="85"/>
      <c r="AI12" s="186" t="s">
        <v>32</v>
      </c>
      <c r="AJ12" s="186"/>
      <c r="AK12" s="186"/>
      <c r="AL12" s="186"/>
      <c r="AM12" s="186"/>
      <c r="AN12" t="s">
        <v>44</v>
      </c>
      <c r="AO12" t="s">
        <v>43</v>
      </c>
      <c r="AT12" s="77"/>
      <c r="AU12" s="78"/>
      <c r="AV12" s="78"/>
      <c r="AW12" s="78"/>
      <c r="AX12" s="77"/>
      <c r="AY12" s="77"/>
      <c r="AZ12" s="77"/>
      <c r="BA12" s="77"/>
      <c r="BB12" s="77"/>
      <c r="BC12" s="77"/>
      <c r="BD12" s="77"/>
      <c r="BE12" s="77"/>
      <c r="BF12" s="77"/>
      <c r="BG12" s="77"/>
    </row>
    <row r="13" spans="1:59" ht="12.75">
      <c r="A13" s="27" t="s">
        <v>17</v>
      </c>
      <c r="B13" s="29"/>
      <c r="C13" s="29"/>
      <c r="D13" s="23"/>
      <c r="E13" s="195"/>
      <c r="F13" s="196"/>
      <c r="G13" s="197"/>
      <c r="H13" s="198"/>
      <c r="I13" s="199"/>
      <c r="J13" s="199"/>
      <c r="K13" s="200"/>
      <c r="L13" s="143"/>
      <c r="M13" s="20"/>
      <c r="N13" s="20"/>
      <c r="O13" s="20"/>
      <c r="P13" s="62"/>
      <c r="Q13" s="27" t="s">
        <v>17</v>
      </c>
      <c r="R13" s="29"/>
      <c r="S13" s="29"/>
      <c r="T13" s="23"/>
      <c r="U13" s="195">
        <f t="shared" si="0"/>
        <v>0</v>
      </c>
      <c r="V13" s="196"/>
      <c r="W13" s="197"/>
      <c r="X13" s="198" t="s">
        <v>115</v>
      </c>
      <c r="Y13" s="199"/>
      <c r="Z13" s="199"/>
      <c r="AA13" s="200"/>
      <c r="AB13" s="143">
        <f t="shared" si="1"/>
        <v>0</v>
      </c>
      <c r="AC13" s="20"/>
      <c r="AD13" s="20"/>
      <c r="AE13" s="91"/>
      <c r="AF13" s="62"/>
      <c r="AH13" s="85"/>
      <c r="AI13" s="4" t="s">
        <v>33</v>
      </c>
      <c r="AJ13" s="107">
        <v>80000</v>
      </c>
      <c r="AK13" s="4"/>
      <c r="AL13" s="107">
        <v>800</v>
      </c>
      <c r="AM13" s="107">
        <v>690</v>
      </c>
      <c r="AN13" s="87">
        <v>110</v>
      </c>
      <c r="AO13" s="87">
        <f>ROUND(Redd_Detraz/AJ19,4)</f>
        <v>0</v>
      </c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</row>
    <row r="14" spans="1:59" ht="12.75">
      <c r="A14" s="192" t="s">
        <v>108</v>
      </c>
      <c r="B14" s="193"/>
      <c r="C14" s="193"/>
      <c r="D14" s="194"/>
      <c r="E14" s="195"/>
      <c r="F14" s="196"/>
      <c r="G14" s="197"/>
      <c r="H14" s="198" t="s">
        <v>116</v>
      </c>
      <c r="I14" s="199"/>
      <c r="J14" s="199"/>
      <c r="K14" s="200"/>
      <c r="L14" s="143">
        <f>ROUND(E13*80%*(Aliquote!$G$9)+E13*(Aliquote!$H$9+Aliquote!$I$9),5)</f>
        <v>0</v>
      </c>
      <c r="M14" s="20"/>
      <c r="N14" s="20"/>
      <c r="O14" s="20"/>
      <c r="P14" s="62"/>
      <c r="Q14" s="26" t="s">
        <v>13</v>
      </c>
      <c r="R14" s="30"/>
      <c r="S14" s="30"/>
      <c r="T14" s="24"/>
      <c r="U14" s="195">
        <f t="shared" si="0"/>
        <v>0</v>
      </c>
      <c r="V14" s="196"/>
      <c r="W14" s="197"/>
      <c r="X14" s="198" t="s">
        <v>116</v>
      </c>
      <c r="Y14" s="199"/>
      <c r="Z14" s="199"/>
      <c r="AA14" s="200"/>
      <c r="AB14" s="143">
        <f t="shared" si="1"/>
        <v>0</v>
      </c>
      <c r="AC14" s="20"/>
      <c r="AD14" s="20"/>
      <c r="AE14" s="20"/>
      <c r="AF14" s="62"/>
      <c r="AH14" s="85"/>
      <c r="AI14" s="4" t="s">
        <v>34</v>
      </c>
      <c r="AJ14" s="107">
        <v>95000</v>
      </c>
      <c r="AK14" s="4"/>
      <c r="AL14" s="107">
        <v>800</v>
      </c>
      <c r="AO14" s="77">
        <f>ROUND((Coniuge-Redd_Detraz)/AJ38,4)</f>
        <v>2</v>
      </c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</row>
    <row r="15" spans="1:59" ht="12.75">
      <c r="A15" s="192" t="s">
        <v>109</v>
      </c>
      <c r="B15" s="193"/>
      <c r="C15" s="193"/>
      <c r="D15" s="194"/>
      <c r="E15" s="195"/>
      <c r="F15" s="196"/>
      <c r="G15" s="197"/>
      <c r="H15" s="192" t="s">
        <v>149</v>
      </c>
      <c r="I15" s="193"/>
      <c r="J15" s="193"/>
      <c r="K15" s="194"/>
      <c r="L15" s="143">
        <f>ROUND(E14*80%*(Aliquote!$G$9)+E14*(Aliquote!$H$9+Aliquote!$I$9),5)</f>
        <v>0</v>
      </c>
      <c r="M15" s="20"/>
      <c r="N15" s="20"/>
      <c r="O15" s="20"/>
      <c r="P15" s="62"/>
      <c r="Q15" s="26" t="s">
        <v>13</v>
      </c>
      <c r="R15" s="30"/>
      <c r="S15" s="30"/>
      <c r="T15" s="24"/>
      <c r="U15" s="195">
        <f t="shared" si="0"/>
        <v>0</v>
      </c>
      <c r="V15" s="196"/>
      <c r="W15" s="197"/>
      <c r="X15" s="192" t="s">
        <v>13</v>
      </c>
      <c r="Y15" s="193"/>
      <c r="Z15" s="193"/>
      <c r="AA15" s="194"/>
      <c r="AB15" s="143">
        <f t="shared" si="1"/>
        <v>0</v>
      </c>
      <c r="AC15" s="20"/>
      <c r="AD15" s="20"/>
      <c r="AE15" s="25" t="s">
        <v>93</v>
      </c>
      <c r="AF15" s="62"/>
      <c r="AH15" s="85"/>
      <c r="AI15" s="4" t="s">
        <v>35</v>
      </c>
      <c r="AJ15" s="107">
        <v>55000</v>
      </c>
      <c r="AK15" s="4"/>
      <c r="AL15" s="107">
        <v>1338</v>
      </c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</row>
    <row r="16" spans="1:59" ht="12.75">
      <c r="A16" s="192" t="s">
        <v>148</v>
      </c>
      <c r="B16" s="193"/>
      <c r="C16" s="193"/>
      <c r="D16" s="194"/>
      <c r="E16" s="195"/>
      <c r="F16" s="196"/>
      <c r="G16" s="197"/>
      <c r="H16" s="192" t="s">
        <v>150</v>
      </c>
      <c r="I16" s="193"/>
      <c r="J16" s="193"/>
      <c r="K16" s="194"/>
      <c r="L16" s="144">
        <f>ROUND(E15*(Aliquote!$H$9+Aliquote!$I$9),5)</f>
        <v>0</v>
      </c>
      <c r="M16" s="20"/>
      <c r="N16" s="20"/>
      <c r="O16" s="20"/>
      <c r="P16" s="62"/>
      <c r="Q16" s="192" t="s">
        <v>57</v>
      </c>
      <c r="R16" s="193"/>
      <c r="S16" s="193"/>
      <c r="T16" s="194"/>
      <c r="U16" s="195"/>
      <c r="V16" s="196"/>
      <c r="W16" s="197"/>
      <c r="X16" s="192" t="s">
        <v>13</v>
      </c>
      <c r="Y16" s="193"/>
      <c r="Z16" s="193"/>
      <c r="AA16" s="194"/>
      <c r="AB16" s="143">
        <f t="shared" si="1"/>
        <v>0</v>
      </c>
      <c r="AC16" s="298"/>
      <c r="AD16" s="299"/>
      <c r="AE16" s="146">
        <f>IF(O46&gt;E12,ROUND((O46-E12)*12,2),0)</f>
        <v>0</v>
      </c>
      <c r="AF16" s="62"/>
      <c r="AH16" s="85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</row>
    <row r="17" spans="1:59" ht="12.75">
      <c r="A17" s="163" t="s">
        <v>15</v>
      </c>
      <c r="B17" s="154"/>
      <c r="C17" s="154"/>
      <c r="D17" s="164"/>
      <c r="E17" s="175">
        <f>SUM(E8:G16)</f>
        <v>0</v>
      </c>
      <c r="F17" s="219"/>
      <c r="G17" s="176"/>
      <c r="H17" s="192" t="s">
        <v>148</v>
      </c>
      <c r="I17" s="193"/>
      <c r="J17" s="193"/>
      <c r="K17" s="194"/>
      <c r="L17" s="189"/>
      <c r="M17" s="20"/>
      <c r="N17" s="20"/>
      <c r="O17" s="20"/>
      <c r="P17" s="62"/>
      <c r="Q17" s="31" t="s">
        <v>15</v>
      </c>
      <c r="R17" s="28"/>
      <c r="S17" s="28"/>
      <c r="T17" s="32"/>
      <c r="U17" s="175">
        <f>SUM(U8:W16)</f>
        <v>0</v>
      </c>
      <c r="V17" s="219"/>
      <c r="W17" s="176"/>
      <c r="X17" s="192" t="s">
        <v>57</v>
      </c>
      <c r="Y17" s="193"/>
      <c r="Z17" s="193"/>
      <c r="AA17" s="194"/>
      <c r="AB17" s="143">
        <f t="shared" si="1"/>
        <v>0</v>
      </c>
      <c r="AC17" s="160"/>
      <c r="AD17" s="160"/>
      <c r="AE17" s="147"/>
      <c r="AF17" s="62"/>
      <c r="AH17" s="85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</row>
    <row r="18" spans="1:59" ht="13.5" thickBot="1">
      <c r="A18" s="57"/>
      <c r="B18" s="20"/>
      <c r="C18" s="20"/>
      <c r="D18" s="20"/>
      <c r="E18" s="20"/>
      <c r="F18" s="20"/>
      <c r="G18" s="20"/>
      <c r="H18" s="163" t="s">
        <v>15</v>
      </c>
      <c r="I18" s="154"/>
      <c r="J18" s="154"/>
      <c r="K18" s="164"/>
      <c r="L18" s="3">
        <f>SUM(L8:L17)</f>
        <v>0</v>
      </c>
      <c r="M18" s="20"/>
      <c r="N18" s="20"/>
      <c r="O18" s="20"/>
      <c r="P18" s="62"/>
      <c r="Q18" s="57"/>
      <c r="R18" s="20"/>
      <c r="S18" s="20"/>
      <c r="T18" s="20"/>
      <c r="U18" s="20"/>
      <c r="V18" s="20"/>
      <c r="W18" s="20"/>
      <c r="X18" s="31" t="s">
        <v>15</v>
      </c>
      <c r="Y18" s="28"/>
      <c r="Z18" s="28"/>
      <c r="AA18" s="32"/>
      <c r="AB18" s="3">
        <f>SUM(AB8:AB17)</f>
        <v>0</v>
      </c>
      <c r="AC18" s="136"/>
      <c r="AD18" s="136" t="s">
        <v>139</v>
      </c>
      <c r="AE18" s="147"/>
      <c r="AF18" s="151">
        <f>ROUND(E12*12,5)</f>
        <v>0</v>
      </c>
      <c r="AH18" s="85"/>
      <c r="AI18" s="4" t="s">
        <v>38</v>
      </c>
      <c r="AJ18" s="110" t="s">
        <v>39</v>
      </c>
      <c r="AK18" s="77"/>
      <c r="AL18" s="111" t="s">
        <v>45</v>
      </c>
      <c r="AM18" s="111" t="s">
        <v>40</v>
      </c>
      <c r="AO18">
        <f>IF(AP18&gt;0,1,0)</f>
        <v>0</v>
      </c>
      <c r="AP18" s="87"/>
      <c r="AQ18" s="87">
        <v>700</v>
      </c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</row>
    <row r="19" spans="1:59" ht="13.5" customHeight="1" hidden="1" thickBot="1">
      <c r="A19" s="79"/>
      <c r="B19" s="25"/>
      <c r="C19" s="25"/>
      <c r="D19" s="25"/>
      <c r="E19" s="25"/>
      <c r="F19" s="25"/>
      <c r="G19" s="25"/>
      <c r="H19" s="20"/>
      <c r="I19" s="20"/>
      <c r="J19" s="20"/>
      <c r="K19" s="20"/>
      <c r="L19" s="20"/>
      <c r="M19" s="20"/>
      <c r="N19" s="20"/>
      <c r="O19" s="20"/>
      <c r="P19" s="62"/>
      <c r="Q19" s="79"/>
      <c r="R19" s="25"/>
      <c r="S19" s="25"/>
      <c r="T19" s="25"/>
      <c r="U19" s="25"/>
      <c r="V19" s="25"/>
      <c r="W19" s="25"/>
      <c r="X19" s="20"/>
      <c r="Y19" s="20"/>
      <c r="Z19" s="20"/>
      <c r="AA19" s="20"/>
      <c r="AB19" s="20"/>
      <c r="AC19" s="136"/>
      <c r="AD19" s="20"/>
      <c r="AE19" s="148"/>
      <c r="AF19" s="62"/>
      <c r="AI19" s="315" t="s">
        <v>33</v>
      </c>
      <c r="AJ19" s="316">
        <v>15000</v>
      </c>
      <c r="AK19" s="77"/>
      <c r="AL19" s="118">
        <v>0</v>
      </c>
      <c r="AM19" s="127">
        <v>0</v>
      </c>
      <c r="AO19">
        <f>IF(AP19&gt;0,1,0)</f>
        <v>0</v>
      </c>
      <c r="AP19" s="87"/>
      <c r="AQ19" s="87">
        <v>500</v>
      </c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</row>
    <row r="20" spans="1:59" ht="15.75">
      <c r="A20" s="241" t="s">
        <v>66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3"/>
      <c r="Q20" s="241" t="s">
        <v>66</v>
      </c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3"/>
      <c r="AI20" s="315"/>
      <c r="AJ20" s="316"/>
      <c r="AK20" s="77"/>
      <c r="AL20" s="128"/>
      <c r="AM20" s="129"/>
      <c r="AP20" s="87"/>
      <c r="AQ20" s="8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</row>
    <row r="21" spans="1:59" ht="12.75">
      <c r="A21" s="289" t="s">
        <v>33</v>
      </c>
      <c r="B21" s="289"/>
      <c r="C21" s="289"/>
      <c r="D21" s="2"/>
      <c r="E21" s="25"/>
      <c r="F21" s="63"/>
      <c r="G21" s="63"/>
      <c r="H21" s="63"/>
      <c r="I21" s="45"/>
      <c r="J21" s="20"/>
      <c r="K21" s="20"/>
      <c r="L21" s="20"/>
      <c r="M21" s="20"/>
      <c r="N21" s="20"/>
      <c r="O21" s="20"/>
      <c r="P21" s="62"/>
      <c r="Q21" s="289" t="s">
        <v>33</v>
      </c>
      <c r="R21" s="289"/>
      <c r="S21" s="289"/>
      <c r="T21" s="2">
        <f>+D21</f>
        <v>0</v>
      </c>
      <c r="U21" s="25"/>
      <c r="V21" s="63" t="str">
        <f>IF(CNG="Si","Mesi a carico",Vuota1)</f>
        <v>        </v>
      </c>
      <c r="W21" s="63"/>
      <c r="X21" s="63"/>
      <c r="Y21" s="45">
        <v>12</v>
      </c>
      <c r="Z21" s="20"/>
      <c r="AA21" s="20"/>
      <c r="AB21" s="20"/>
      <c r="AC21" s="20"/>
      <c r="AD21" s="20"/>
      <c r="AE21" s="20"/>
      <c r="AF21" s="62"/>
      <c r="AI21" s="315"/>
      <c r="AJ21" s="316"/>
      <c r="AK21" s="77"/>
      <c r="AL21" s="128"/>
      <c r="AM21" s="129"/>
      <c r="AP21" s="87"/>
      <c r="AQ21" s="87"/>
      <c r="AT21" s="77"/>
      <c r="AU21" s="303" t="s">
        <v>83</v>
      </c>
      <c r="AV21" s="304"/>
      <c r="AW21" s="305"/>
      <c r="AX21" s="77"/>
      <c r="AY21" s="77"/>
      <c r="AZ21" s="77"/>
      <c r="BA21" s="77"/>
      <c r="BB21" s="77"/>
      <c r="BC21" s="77"/>
      <c r="BD21" s="77"/>
      <c r="BE21" s="77"/>
      <c r="BF21" s="77"/>
      <c r="BG21" s="77"/>
    </row>
    <row r="22" spans="1:59" ht="12.75">
      <c r="A22" s="64"/>
      <c r="B22" s="63"/>
      <c r="C22" s="48"/>
      <c r="D22" s="20"/>
      <c r="E22" s="25"/>
      <c r="F22" s="63"/>
      <c r="G22" s="63"/>
      <c r="H22" s="63"/>
      <c r="I22" s="20"/>
      <c r="J22" s="20"/>
      <c r="K22" s="20"/>
      <c r="L22" s="20"/>
      <c r="M22" s="20"/>
      <c r="N22" s="20"/>
      <c r="O22" s="20"/>
      <c r="P22" s="62"/>
      <c r="Q22" s="64"/>
      <c r="R22" s="63"/>
      <c r="S22" s="48"/>
      <c r="T22" s="20"/>
      <c r="U22" s="25"/>
      <c r="V22" s="63"/>
      <c r="W22" s="63"/>
      <c r="X22" s="63"/>
      <c r="Y22" s="20"/>
      <c r="Z22" s="20"/>
      <c r="AA22" s="20"/>
      <c r="AB22" s="20"/>
      <c r="AC22" s="20"/>
      <c r="AD22" s="20"/>
      <c r="AE22" s="20"/>
      <c r="AF22" s="62"/>
      <c r="AI22" s="315"/>
      <c r="AJ22" s="316"/>
      <c r="AK22" s="77"/>
      <c r="AL22" s="128"/>
      <c r="AM22" s="129"/>
      <c r="AP22" s="87"/>
      <c r="AQ22" s="87"/>
      <c r="AT22" s="77"/>
      <c r="AU22" s="306"/>
      <c r="AV22" s="257"/>
      <c r="AW22" s="307"/>
      <c r="AX22" s="77"/>
      <c r="AY22" s="77"/>
      <c r="AZ22" s="77"/>
      <c r="BA22" s="77"/>
      <c r="BB22" s="77"/>
      <c r="BC22" s="77"/>
      <c r="BD22" s="77"/>
      <c r="BE22" s="77"/>
      <c r="BF22" s="77"/>
      <c r="BG22" s="77"/>
    </row>
    <row r="23" spans="1:59" ht="12.75">
      <c r="A23" s="54" t="s">
        <v>67</v>
      </c>
      <c r="B23" s="55"/>
      <c r="C23" s="56"/>
      <c r="D23" s="49"/>
      <c r="E23" s="20"/>
      <c r="F23" s="63" t="str">
        <f>IF(N_Fgl&gt;0,"Se il 1° figlio è in assenza del coniuge barrare la casella &gt;&gt;&gt;&gt;",Vuota1)</f>
        <v>        </v>
      </c>
      <c r="G23" s="63"/>
      <c r="H23" s="63"/>
      <c r="I23" s="20"/>
      <c r="J23" s="25"/>
      <c r="K23" s="20"/>
      <c r="L23" s="20"/>
      <c r="M23" s="20"/>
      <c r="N23" s="43"/>
      <c r="O23" s="63"/>
      <c r="P23" s="65"/>
      <c r="Q23" s="54" t="s">
        <v>67</v>
      </c>
      <c r="R23" s="55"/>
      <c r="S23" s="56"/>
      <c r="T23" s="49">
        <f>+D23</f>
        <v>0</v>
      </c>
      <c r="U23" s="20"/>
      <c r="V23" s="63" t="str">
        <f>IF(N_Fgl&gt;0,"Se il 1° figlio è in assenza delconiuge barrare la casella &gt;&gt;&gt;&gt;",Vuota1)</f>
        <v>        </v>
      </c>
      <c r="W23" s="63"/>
      <c r="X23" s="63"/>
      <c r="Y23" s="20"/>
      <c r="Z23" s="25"/>
      <c r="AA23" s="20"/>
      <c r="AB23" s="20"/>
      <c r="AC23" s="20"/>
      <c r="AD23" s="44">
        <f>+N23</f>
        <v>0</v>
      </c>
      <c r="AE23" s="63" t="str">
        <f>IF(AD23&gt;0,"Mesi a carico",Vuota1)</f>
        <v>        </v>
      </c>
      <c r="AF23" s="65"/>
      <c r="AI23" s="315"/>
      <c r="AJ23" s="316"/>
      <c r="AK23" s="77"/>
      <c r="AL23" s="128"/>
      <c r="AM23" s="129"/>
      <c r="AP23" s="87"/>
      <c r="AQ23" s="87"/>
      <c r="AT23" s="77"/>
      <c r="AU23" s="306"/>
      <c r="AV23" s="257"/>
      <c r="AW23" s="307"/>
      <c r="AX23" s="77"/>
      <c r="AY23" s="77"/>
      <c r="AZ23" s="77"/>
      <c r="BA23" s="77"/>
      <c r="BB23" s="77"/>
      <c r="BC23" s="77"/>
      <c r="BD23" s="77"/>
      <c r="BE23" s="77"/>
      <c r="BF23" s="77"/>
      <c r="BG23" s="77"/>
    </row>
    <row r="24" spans="1:59" ht="12.75" customHeight="1">
      <c r="A24" s="47"/>
      <c r="B24" s="239" t="s">
        <v>64</v>
      </c>
      <c r="C24" s="240"/>
      <c r="D24" s="293"/>
      <c r="E24" s="294" t="s">
        <v>65</v>
      </c>
      <c r="F24" s="295"/>
      <c r="G24" s="293"/>
      <c r="H24" s="294" t="s">
        <v>59</v>
      </c>
      <c r="I24" s="295"/>
      <c r="J24" s="293"/>
      <c r="K24" s="48"/>
      <c r="L24" s="63"/>
      <c r="M24" s="20"/>
      <c r="N24" s="20"/>
      <c r="O24" s="20"/>
      <c r="P24" s="62"/>
      <c r="Q24" s="47"/>
      <c r="R24" s="239" t="s">
        <v>64</v>
      </c>
      <c r="S24" s="240"/>
      <c r="T24" s="293"/>
      <c r="U24" s="294" t="s">
        <v>65</v>
      </c>
      <c r="V24" s="295"/>
      <c r="W24" s="293"/>
      <c r="X24" s="294" t="s">
        <v>59</v>
      </c>
      <c r="Y24" s="295"/>
      <c r="Z24" s="293"/>
      <c r="AA24" s="42" t="s">
        <v>80</v>
      </c>
      <c r="AB24" s="63"/>
      <c r="AC24" s="20"/>
      <c r="AD24" s="20"/>
      <c r="AE24" s="20"/>
      <c r="AF24" s="62"/>
      <c r="AI24" s="315"/>
      <c r="AJ24" s="316"/>
      <c r="AK24" s="77"/>
      <c r="AL24" s="128"/>
      <c r="AM24" s="129"/>
      <c r="AP24" s="87"/>
      <c r="AQ24" s="87"/>
      <c r="AT24" s="77"/>
      <c r="AU24" s="306"/>
      <c r="AV24" s="257"/>
      <c r="AW24" s="307"/>
      <c r="AX24" s="77"/>
      <c r="AY24" s="77"/>
      <c r="AZ24" s="77"/>
      <c r="BA24" s="77"/>
      <c r="BB24" s="77"/>
      <c r="BC24" s="77"/>
      <c r="BD24" s="77"/>
      <c r="BE24" s="77"/>
      <c r="BF24" s="77"/>
      <c r="BG24" s="77"/>
    </row>
    <row r="25" spans="1:59" ht="12.75" customHeight="1">
      <c r="A25" s="64" t="str">
        <f>IF(N_Fgl&gt;0,"1° figlio",Vuota1)</f>
        <v>        </v>
      </c>
      <c r="B25" s="63"/>
      <c r="C25" s="43"/>
      <c r="D25" s="63"/>
      <c r="E25" s="63"/>
      <c r="F25" s="43"/>
      <c r="G25" s="63"/>
      <c r="H25" s="63"/>
      <c r="I25" s="43"/>
      <c r="J25" s="63"/>
      <c r="K25" s="63"/>
      <c r="L25" s="66" t="str">
        <f>IF($D$23&gt;0,ROUND(AB25/12,2),Vuota1)</f>
        <v>        </v>
      </c>
      <c r="M25" s="231" t="s">
        <v>69</v>
      </c>
      <c r="N25" s="232"/>
      <c r="O25" s="233"/>
      <c r="P25" s="244">
        <v>1</v>
      </c>
      <c r="Q25" s="64" t="str">
        <f>IF(N_Fgl&gt;0,"1° figlio",Vuota1)</f>
        <v>        </v>
      </c>
      <c r="R25" s="63"/>
      <c r="S25" s="43">
        <f aca="true" t="shared" si="2" ref="S25:S31">+C25</f>
        <v>0</v>
      </c>
      <c r="T25" s="63"/>
      <c r="U25" s="63"/>
      <c r="V25" s="43">
        <f aca="true" t="shared" si="3" ref="V25:V31">+F25</f>
        <v>0</v>
      </c>
      <c r="W25" s="63"/>
      <c r="X25" s="63"/>
      <c r="Y25" s="43">
        <f aca="true" t="shared" si="4" ref="Y25:Y31">+I25</f>
        <v>0</v>
      </c>
      <c r="Z25" s="63"/>
      <c r="AA25" s="43"/>
      <c r="AB25" s="66" t="str">
        <f>IF(N_Fgl&gt;0,IF(AD23&gt;0,AH27,ROUND(dsfig*Percm,2)+IF($V$25&gt;0,ROUND((dsfg3-dsfig)*Percm,2),0)+IF($Y$25&gt;0,ROUND(dsfhc*Percm,2),0)),Vuota1)</f>
        <v>        </v>
      </c>
      <c r="AC25" s="231" t="s">
        <v>69</v>
      </c>
      <c r="AD25" s="232"/>
      <c r="AE25" s="233"/>
      <c r="AF25" s="244">
        <f>+P25</f>
        <v>1</v>
      </c>
      <c r="AH25" s="106">
        <f>ROUND(dsfig,5)+IF($V$25&gt;0,ROUND(dsfg3-dsfig,5),0)+IF($Y$25&gt;0,ROUND(dsfhc,5),0)</f>
        <v>0</v>
      </c>
      <c r="AI25" s="315"/>
      <c r="AJ25" s="316"/>
      <c r="AK25" s="77"/>
      <c r="AL25" s="128"/>
      <c r="AM25" s="129"/>
      <c r="AP25" s="87"/>
      <c r="AQ25" s="87"/>
      <c r="AT25" s="77"/>
      <c r="AU25" s="308"/>
      <c r="AV25" s="309"/>
      <c r="AW25" s="310"/>
      <c r="AX25" s="77"/>
      <c r="AY25" s="77"/>
      <c r="AZ25" s="77"/>
      <c r="BA25" s="77"/>
      <c r="BB25" s="77"/>
      <c r="BC25" s="77"/>
      <c r="BD25" s="77"/>
      <c r="BE25" s="77"/>
      <c r="BF25" s="77"/>
      <c r="BG25" s="77"/>
    </row>
    <row r="26" spans="1:59" ht="12.75">
      <c r="A26" s="64" t="str">
        <f>IF(N_Fgl&gt;1,"2° figlio"," ")</f>
        <v> </v>
      </c>
      <c r="B26" s="63"/>
      <c r="C26" s="43"/>
      <c r="D26" s="63"/>
      <c r="E26" s="63"/>
      <c r="F26" s="43"/>
      <c r="G26" s="63"/>
      <c r="H26" s="63"/>
      <c r="I26" s="43"/>
      <c r="J26" s="63"/>
      <c r="K26" s="63"/>
      <c r="L26" s="66" t="str">
        <f>IF($D$23&gt;1,ROUND(AB26/12,2),Vuota1)</f>
        <v>        </v>
      </c>
      <c r="M26" s="234"/>
      <c r="N26" s="188"/>
      <c r="O26" s="235"/>
      <c r="P26" s="245"/>
      <c r="Q26" s="64" t="str">
        <f>IF(N_Fgl&gt;1,"2° figlio"," ")</f>
        <v> </v>
      </c>
      <c r="R26" s="63"/>
      <c r="S26" s="43">
        <f t="shared" si="2"/>
        <v>0</v>
      </c>
      <c r="T26" s="63"/>
      <c r="U26" s="63"/>
      <c r="V26" s="43">
        <f t="shared" si="3"/>
        <v>0</v>
      </c>
      <c r="W26" s="63"/>
      <c r="X26" s="63"/>
      <c r="Y26" s="43">
        <f t="shared" si="4"/>
        <v>0</v>
      </c>
      <c r="Z26" s="63"/>
      <c r="AA26" s="43"/>
      <c r="AB26" s="66" t="str">
        <f>IF(N_Fgl&gt;1,ROUND(dsfig*Percm,2)+IF(V26&gt;0,ROUND((dsfg3-dsfig)*Percm,2),0)+IF(Y26&gt;0,ROUND(dsfhc*Percm,2),0),Vuota1)</f>
        <v>        </v>
      </c>
      <c r="AC26" s="234"/>
      <c r="AD26" s="188"/>
      <c r="AE26" s="235"/>
      <c r="AF26" s="245"/>
      <c r="AI26" s="315"/>
      <c r="AJ26" s="316"/>
      <c r="AK26" s="77"/>
      <c r="AL26" s="128"/>
      <c r="AM26" s="129"/>
      <c r="AP26" s="87"/>
      <c r="AQ26" s="8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</row>
    <row r="27" spans="1:59" ht="12.75">
      <c r="A27" s="64" t="str">
        <f>IF(N_Fgl&gt;2,"3° figlio"," ")</f>
        <v> </v>
      </c>
      <c r="B27" s="63"/>
      <c r="C27" s="43"/>
      <c r="D27" s="63"/>
      <c r="E27" s="63"/>
      <c r="F27" s="43"/>
      <c r="G27" s="63"/>
      <c r="H27" s="63"/>
      <c r="I27" s="43"/>
      <c r="J27" s="63"/>
      <c r="K27" s="63"/>
      <c r="L27" s="66" t="str">
        <f>IF($D$23&gt;2,ROUND(AB27/12,2),Vuota1)</f>
        <v>        </v>
      </c>
      <c r="M27" s="236"/>
      <c r="N27" s="237"/>
      <c r="O27" s="238"/>
      <c r="P27" s="246"/>
      <c r="Q27" s="64" t="str">
        <f>IF(N_Fgl&gt;2,"3° figlio"," ")</f>
        <v> </v>
      </c>
      <c r="R27" s="63"/>
      <c r="S27" s="43">
        <f t="shared" si="2"/>
        <v>0</v>
      </c>
      <c r="T27" s="63"/>
      <c r="U27" s="63"/>
      <c r="V27" s="43">
        <f t="shared" si="3"/>
        <v>0</v>
      </c>
      <c r="W27" s="63"/>
      <c r="X27" s="63"/>
      <c r="Y27" s="43">
        <f t="shared" si="4"/>
        <v>0</v>
      </c>
      <c r="Z27" s="63"/>
      <c r="AA27" s="43"/>
      <c r="AB27" s="66" t="str">
        <f>IF(N_Fgl&gt;2,ROUND(dsfig*Percm,2)+IF(V27&gt;0,ROUND((dsfg3-dsfig)*Percm,2),0)+IF(Y27&gt;0,ROUND(dsfhc*Percm,2),0),Vuota1)</f>
        <v>        </v>
      </c>
      <c r="AC27" s="236"/>
      <c r="AD27" s="237"/>
      <c r="AE27" s="238"/>
      <c r="AF27" s="246"/>
      <c r="AH27" s="106">
        <f>IF($AD$23&gt;0,IF($AH$25&gt;Cng_nn,ROUND($AH$25,2),ROUND(Cng_nn,5)),AH25)</f>
        <v>0</v>
      </c>
      <c r="AI27" s="315"/>
      <c r="AJ27" s="316"/>
      <c r="AK27" s="77"/>
      <c r="AL27" s="128"/>
      <c r="AM27" s="129"/>
      <c r="AP27" s="87"/>
      <c r="AQ27" s="8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</row>
    <row r="28" spans="1:59" ht="12.75">
      <c r="A28" s="64" t="str">
        <f>IF(N_Fgl&gt;3,"4° figlio"," ")</f>
        <v> </v>
      </c>
      <c r="B28" s="63"/>
      <c r="C28" s="43"/>
      <c r="D28" s="63"/>
      <c r="E28" s="63"/>
      <c r="F28" s="43"/>
      <c r="G28" s="63"/>
      <c r="H28" s="63"/>
      <c r="I28" s="43"/>
      <c r="J28" s="63"/>
      <c r="K28" s="63"/>
      <c r="L28" s="66" t="str">
        <f>IF($D$23&gt;3,ROUND(AB28/12,2),Vuota1)</f>
        <v>        </v>
      </c>
      <c r="M28" s="319" t="str">
        <f>IF(N23&gt;0,IF(P25=50%,"Attenzione: la percentuale deve essere 100%",Vuota1),Vuota1)</f>
        <v>        </v>
      </c>
      <c r="N28" s="319"/>
      <c r="O28" s="319"/>
      <c r="P28" s="320"/>
      <c r="Q28" s="64" t="str">
        <f>IF(N_Fgl&gt;3,"4° figlio"," ")</f>
        <v> </v>
      </c>
      <c r="R28" s="63"/>
      <c r="S28" s="43">
        <f t="shared" si="2"/>
        <v>0</v>
      </c>
      <c r="T28" s="63"/>
      <c r="U28" s="63"/>
      <c r="V28" s="43">
        <f t="shared" si="3"/>
        <v>0</v>
      </c>
      <c r="W28" s="63"/>
      <c r="X28" s="63"/>
      <c r="Y28" s="43">
        <f t="shared" si="4"/>
        <v>0</v>
      </c>
      <c r="Z28" s="63"/>
      <c r="AA28" s="43"/>
      <c r="AB28" s="66" t="str">
        <f>IF(N_Fgl&gt;3,ROUND(dsfig*Percm,2)+IF(V28&gt;0,ROUND((dsfg3-dsfig)*Percm,2),0)+IF(Y28&gt;0,ROUND(dsfhc*Percm,2),0),Vuota1)</f>
        <v>        </v>
      </c>
      <c r="AC28" s="20"/>
      <c r="AD28" s="20"/>
      <c r="AE28" s="20"/>
      <c r="AF28" s="62"/>
      <c r="AI28" s="315"/>
      <c r="AJ28" s="316"/>
      <c r="AK28" s="77"/>
      <c r="AL28" s="128"/>
      <c r="AM28" s="129"/>
      <c r="AP28" s="87"/>
      <c r="AQ28" s="8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</row>
    <row r="29" spans="1:59" ht="13.5" thickBot="1">
      <c r="A29" s="64" t="str">
        <f>IF(N_Fgl&gt;4,"5° figlio"," ")</f>
        <v> </v>
      </c>
      <c r="B29" s="63"/>
      <c r="C29" s="43"/>
      <c r="D29" s="63"/>
      <c r="E29" s="63"/>
      <c r="F29" s="43"/>
      <c r="G29" s="63"/>
      <c r="H29" s="63"/>
      <c r="I29" s="43"/>
      <c r="J29" s="63"/>
      <c r="K29" s="63"/>
      <c r="L29" s="66" t="str">
        <f>IF($D$23&gt;4,ROUND(AB29/12,2),Vuota1)</f>
        <v>        </v>
      </c>
      <c r="M29" s="321"/>
      <c r="N29" s="321"/>
      <c r="O29" s="321"/>
      <c r="P29" s="322"/>
      <c r="Q29" s="64" t="str">
        <f>IF(N_Fgl&gt;4,"5° figlio"," ")</f>
        <v> </v>
      </c>
      <c r="R29" s="63"/>
      <c r="S29" s="43">
        <f t="shared" si="2"/>
        <v>0</v>
      </c>
      <c r="T29" s="63"/>
      <c r="U29" s="63"/>
      <c r="V29" s="43">
        <f t="shared" si="3"/>
        <v>0</v>
      </c>
      <c r="W29" s="63"/>
      <c r="X29" s="63"/>
      <c r="Y29" s="43">
        <f t="shared" si="4"/>
        <v>0</v>
      </c>
      <c r="Z29" s="63"/>
      <c r="AA29" s="43"/>
      <c r="AB29" s="66" t="str">
        <f>IF(N_Fgl&gt;4,ROUND(dsfig*Percm,2)+IF(V29&gt;0,ROUND((dsfg3-dsfig)*Percm,2),0)+IF(Y29&gt;0,ROUND(dsfhc*Percm,2),0),Vuota1)</f>
        <v>        </v>
      </c>
      <c r="AC29" s="20"/>
      <c r="AD29" s="20"/>
      <c r="AE29" s="20"/>
      <c r="AF29" s="62"/>
      <c r="AI29" s="315"/>
      <c r="AJ29" s="316"/>
      <c r="AK29" s="77"/>
      <c r="AL29" s="128"/>
      <c r="AM29" s="129"/>
      <c r="AP29" s="87"/>
      <c r="AQ29" s="8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</row>
    <row r="30" spans="1:59" ht="13.5" thickTop="1">
      <c r="A30" s="64" t="str">
        <f>IF(N_Fgl&gt;5,"6° figlio"," ")</f>
        <v> </v>
      </c>
      <c r="B30" s="63"/>
      <c r="C30" s="43"/>
      <c r="D30" s="63"/>
      <c r="E30" s="63"/>
      <c r="F30" s="43"/>
      <c r="G30" s="63"/>
      <c r="H30" s="63"/>
      <c r="I30" s="43"/>
      <c r="J30" s="63"/>
      <c r="K30" s="63"/>
      <c r="L30" s="66" t="str">
        <f>IF($D$23&gt;5,ROUND(AB30/12,2),Vuota1)</f>
        <v>        </v>
      </c>
      <c r="M30" s="20"/>
      <c r="N30" s="20"/>
      <c r="O30" s="20"/>
      <c r="P30" s="62"/>
      <c r="Q30" s="64" t="str">
        <f>IF(N_Fgl&gt;5,"6° figlio"," ")</f>
        <v> </v>
      </c>
      <c r="R30" s="63"/>
      <c r="S30" s="43">
        <f t="shared" si="2"/>
        <v>0</v>
      </c>
      <c r="T30" s="63"/>
      <c r="U30" s="63"/>
      <c r="V30" s="43">
        <f t="shared" si="3"/>
        <v>0</v>
      </c>
      <c r="W30" s="63"/>
      <c r="X30" s="63"/>
      <c r="Y30" s="43">
        <f t="shared" si="4"/>
        <v>0</v>
      </c>
      <c r="Z30" s="63"/>
      <c r="AA30" s="43"/>
      <c r="AB30" s="66" t="str">
        <f>IF(N_Fgl&gt;5,ROUND(dsfig*Percm,2)+IF(V30&gt;0,ROUND((dsfg3-dsfig)*Percm,2),0)+IF(Y30&gt;0,ROUND(dsfhc*Percm,2),0),Vuota1)</f>
        <v>        </v>
      </c>
      <c r="AC30" s="20"/>
      <c r="AD30" s="20"/>
      <c r="AE30" s="20"/>
      <c r="AF30" s="62"/>
      <c r="AI30" s="315"/>
      <c r="AJ30" s="316"/>
      <c r="AK30" s="77"/>
      <c r="AL30" s="128"/>
      <c r="AM30" s="129"/>
      <c r="AP30" s="87"/>
      <c r="AQ30" s="87"/>
      <c r="AT30" s="77"/>
      <c r="AU30" s="253" t="s">
        <v>99</v>
      </c>
      <c r="AV30" s="254"/>
      <c r="AW30" s="255"/>
      <c r="AX30" s="77"/>
      <c r="AY30" s="77"/>
      <c r="AZ30" s="77"/>
      <c r="BA30" s="77"/>
      <c r="BB30" s="77"/>
      <c r="BC30" s="77"/>
      <c r="BD30" s="77"/>
      <c r="BE30" s="77"/>
      <c r="BF30" s="77"/>
      <c r="BG30" s="77"/>
    </row>
    <row r="31" spans="1:59" ht="12.75">
      <c r="A31" s="64" t="str">
        <f>IF(N_Fgl&gt;6,"7° figlio"," ")</f>
        <v> </v>
      </c>
      <c r="B31" s="63"/>
      <c r="C31" s="43"/>
      <c r="D31" s="63"/>
      <c r="E31" s="63"/>
      <c r="F31" s="43"/>
      <c r="G31" s="63"/>
      <c r="H31" s="63"/>
      <c r="I31" s="43"/>
      <c r="J31" s="63"/>
      <c r="K31" s="63"/>
      <c r="L31" s="66" t="str">
        <f>IF($D$23&gt;6,ROUND(AB31/12,2),Vuota1)</f>
        <v>        </v>
      </c>
      <c r="M31" s="20"/>
      <c r="N31" s="20"/>
      <c r="O31" s="20"/>
      <c r="P31" s="62"/>
      <c r="Q31" s="64" t="str">
        <f>IF(N_Fgl&gt;6,"7° figlio"," ")</f>
        <v> </v>
      </c>
      <c r="R31" s="63"/>
      <c r="S31" s="43">
        <f t="shared" si="2"/>
        <v>0</v>
      </c>
      <c r="T31" s="63"/>
      <c r="U31" s="63"/>
      <c r="V31" s="43">
        <f t="shared" si="3"/>
        <v>0</v>
      </c>
      <c r="W31" s="63"/>
      <c r="X31" s="63"/>
      <c r="Y31" s="43">
        <f t="shared" si="4"/>
        <v>0</v>
      </c>
      <c r="Z31" s="63"/>
      <c r="AA31" s="43"/>
      <c r="AB31" s="66" t="str">
        <f>IF(N_Fgl&gt;6,ROUND(dsfig*Percm,2)+IF(V31&gt;0,ROUND((dsfg3-dsfig)*Percm,2),0)+IF(Y31&gt;0,ROUND(dsfhc*Percm,2),0),Vuota1)</f>
        <v>        </v>
      </c>
      <c r="AC31" s="20"/>
      <c r="AD31" s="20"/>
      <c r="AE31" s="20"/>
      <c r="AF31" s="62"/>
      <c r="AI31" s="315"/>
      <c r="AJ31" s="316"/>
      <c r="AK31" s="77"/>
      <c r="AL31" s="128"/>
      <c r="AM31" s="129"/>
      <c r="AP31" s="87"/>
      <c r="AQ31" s="87"/>
      <c r="AT31" s="77"/>
      <c r="AU31" s="256"/>
      <c r="AV31" s="257"/>
      <c r="AW31" s="258"/>
      <c r="AX31" s="77"/>
      <c r="AY31" s="77"/>
      <c r="AZ31" s="77"/>
      <c r="BA31" s="77"/>
      <c r="BB31" s="77"/>
      <c r="BC31" s="77"/>
      <c r="BD31" s="77"/>
      <c r="BE31" s="77"/>
      <c r="BF31" s="77"/>
      <c r="BG31" s="77"/>
    </row>
    <row r="32" spans="1:59" ht="12.75">
      <c r="A32" s="5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62"/>
      <c r="Q32" s="57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62"/>
      <c r="AI32" s="315"/>
      <c r="AJ32" s="316"/>
      <c r="AK32" s="77"/>
      <c r="AL32" s="128"/>
      <c r="AM32" s="129"/>
      <c r="AP32" s="87"/>
      <c r="AQ32" s="87"/>
      <c r="AT32" s="77"/>
      <c r="AU32" s="256"/>
      <c r="AV32" s="257"/>
      <c r="AW32" s="258"/>
      <c r="AX32" s="77"/>
      <c r="AY32" s="77"/>
      <c r="AZ32" s="77"/>
      <c r="BA32" s="77"/>
      <c r="BB32" s="77"/>
      <c r="BC32" s="77"/>
      <c r="BD32" s="77"/>
      <c r="BE32" s="77"/>
      <c r="BF32" s="77"/>
      <c r="BG32" s="77"/>
    </row>
    <row r="33" spans="1:59" ht="12.75" customHeight="1">
      <c r="A33" s="286" t="s">
        <v>86</v>
      </c>
      <c r="B33" s="287"/>
      <c r="C33" s="288"/>
      <c r="D33" s="2"/>
      <c r="E33" s="20"/>
      <c r="F33" s="63"/>
      <c r="G33" s="63"/>
      <c r="H33" s="63"/>
      <c r="I33" s="45"/>
      <c r="J33" s="20"/>
      <c r="K33" s="188" t="str">
        <f>IF(D33&gt;0,"Indicare il numero complessivo degli aventi diritto alla detrazione pro quota",Vuota1)</f>
        <v>        </v>
      </c>
      <c r="L33" s="179"/>
      <c r="M33" s="179"/>
      <c r="N33" s="179"/>
      <c r="O33" s="179"/>
      <c r="P33" s="223"/>
      <c r="Q33" s="286" t="s">
        <v>86</v>
      </c>
      <c r="R33" s="287"/>
      <c r="S33" s="288"/>
      <c r="T33" s="2">
        <f>+D33</f>
        <v>0</v>
      </c>
      <c r="U33" s="20"/>
      <c r="V33" s="63" t="str">
        <f>IF(T33&gt;0,"Mesi a carico",Vuota1)</f>
        <v>        </v>
      </c>
      <c r="W33" s="63"/>
      <c r="X33" s="63"/>
      <c r="Y33" s="45">
        <v>12</v>
      </c>
      <c r="Z33" s="20"/>
      <c r="AA33" s="188" t="str">
        <f>IF(T33&gt;0,"Indicare il numero complessivo degli aventi diritto alla detrazione pro quota",Vuota1)</f>
        <v>        </v>
      </c>
      <c r="AB33" s="311"/>
      <c r="AC33" s="311"/>
      <c r="AD33" s="311"/>
      <c r="AE33" s="311"/>
      <c r="AF33" s="223">
        <f>+P33</f>
        <v>0</v>
      </c>
      <c r="AI33" s="315"/>
      <c r="AJ33" s="316"/>
      <c r="AK33" s="77"/>
      <c r="AL33" s="128"/>
      <c r="AM33" s="129"/>
      <c r="AP33" s="87"/>
      <c r="AQ33" s="87"/>
      <c r="AT33" s="77"/>
      <c r="AU33" s="256"/>
      <c r="AV33" s="257"/>
      <c r="AW33" s="258"/>
      <c r="AX33" s="77"/>
      <c r="AY33" s="77"/>
      <c r="AZ33" s="77"/>
      <c r="BA33" s="77"/>
      <c r="BB33" s="77"/>
      <c r="BC33" s="77"/>
      <c r="BD33" s="77"/>
      <c r="BE33" s="77"/>
      <c r="BF33" s="77"/>
      <c r="BG33" s="77"/>
    </row>
    <row r="34" spans="1:59" ht="12.75">
      <c r="A34" s="80"/>
      <c r="B34" s="81"/>
      <c r="C34" s="81"/>
      <c r="D34" s="82"/>
      <c r="E34" s="20"/>
      <c r="F34" s="63"/>
      <c r="G34" s="63"/>
      <c r="H34" s="63"/>
      <c r="I34" s="45"/>
      <c r="J34" s="20"/>
      <c r="K34" s="180"/>
      <c r="L34" s="180"/>
      <c r="M34" s="180"/>
      <c r="N34" s="180"/>
      <c r="O34" s="180"/>
      <c r="P34" s="224"/>
      <c r="Q34" s="80"/>
      <c r="R34" s="81"/>
      <c r="S34" s="81"/>
      <c r="T34" s="82"/>
      <c r="U34" s="20"/>
      <c r="V34" s="63"/>
      <c r="W34" s="63"/>
      <c r="X34" s="63"/>
      <c r="Y34" s="45"/>
      <c r="Z34" s="20"/>
      <c r="AA34" s="180"/>
      <c r="AB34" s="180"/>
      <c r="AC34" s="180"/>
      <c r="AD34" s="180"/>
      <c r="AE34" s="180"/>
      <c r="AF34" s="224"/>
      <c r="AI34" s="315"/>
      <c r="AJ34" s="316"/>
      <c r="AK34" s="77"/>
      <c r="AL34" s="128"/>
      <c r="AM34" s="129"/>
      <c r="AP34" s="87"/>
      <c r="AQ34" s="87"/>
      <c r="AT34" s="77"/>
      <c r="AU34" s="256"/>
      <c r="AV34" s="257"/>
      <c r="AW34" s="258"/>
      <c r="AX34" s="77"/>
      <c r="AY34" s="77"/>
      <c r="AZ34" s="77"/>
      <c r="BA34" s="77"/>
      <c r="BB34" s="77"/>
      <c r="BC34" s="77"/>
      <c r="BD34" s="77"/>
      <c r="BE34" s="77"/>
      <c r="BF34" s="77"/>
      <c r="BG34" s="77"/>
    </row>
    <row r="35" spans="1:59" ht="12.75">
      <c r="A35" s="165" t="s">
        <v>70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7"/>
      <c r="Q35" s="165" t="s">
        <v>70</v>
      </c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7"/>
      <c r="AI35" s="315"/>
      <c r="AJ35" s="316"/>
      <c r="AK35" s="77"/>
      <c r="AL35" s="120">
        <v>0.0001</v>
      </c>
      <c r="AM35" s="121">
        <f>ROUND(DetrConiuge-(Ind*Rapp),2)</f>
        <v>800</v>
      </c>
      <c r="AO35">
        <f>IF(AP35&gt;0,1,0)</f>
        <v>0</v>
      </c>
      <c r="AP35" s="87"/>
      <c r="AQ35" s="87">
        <v>200</v>
      </c>
      <c r="AT35" s="77"/>
      <c r="AU35" s="256"/>
      <c r="AV35" s="257"/>
      <c r="AW35" s="258"/>
      <c r="AX35" s="77"/>
      <c r="AY35" s="77"/>
      <c r="AZ35" s="77"/>
      <c r="BA35" s="77"/>
      <c r="BB35" s="77"/>
      <c r="BC35" s="77"/>
      <c r="BD35" s="77"/>
      <c r="BE35" s="77"/>
      <c r="BF35" s="77"/>
      <c r="BG35" s="77"/>
    </row>
    <row r="36" spans="1:59" ht="12.75">
      <c r="A36" s="290" t="s">
        <v>32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2"/>
      <c r="Q36" s="290" t="s">
        <v>32</v>
      </c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2"/>
      <c r="AH36" s="184" t="s">
        <v>62</v>
      </c>
      <c r="AI36" s="315"/>
      <c r="AJ36" s="316"/>
      <c r="AK36" s="77"/>
      <c r="AL36" s="122">
        <v>1</v>
      </c>
      <c r="AM36" s="121">
        <f>+DetrRid</f>
        <v>690</v>
      </c>
      <c r="AO36">
        <f>IF(AP36&gt;0,1,0)</f>
        <v>0</v>
      </c>
      <c r="AP36" s="87"/>
      <c r="AQ36" s="87">
        <v>1500</v>
      </c>
      <c r="AT36" s="77"/>
      <c r="AU36" s="256"/>
      <c r="AV36" s="257"/>
      <c r="AW36" s="258"/>
      <c r="AX36" s="77"/>
      <c r="AY36" s="77"/>
      <c r="AZ36" s="77"/>
      <c r="BA36" s="77"/>
      <c r="BB36" s="77"/>
      <c r="BC36" s="77"/>
      <c r="BD36" s="77"/>
      <c r="BE36" s="77"/>
      <c r="BF36" s="77"/>
      <c r="BG36" s="77"/>
    </row>
    <row r="37" spans="1:59" ht="12.75">
      <c r="A37" s="225" t="s">
        <v>19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7"/>
      <c r="M37" s="3">
        <f>ROUND(AC37/12,0)</f>
        <v>0</v>
      </c>
      <c r="N37" s="20"/>
      <c r="O37" s="20"/>
      <c r="P37" s="62"/>
      <c r="Q37" s="225" t="s">
        <v>19</v>
      </c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7"/>
      <c r="AC37" s="3">
        <f>IF(CNG="SI",ROUND((VLOOKUP(Redd_Detraz,ConDetr,3)+VLOOKUP(Redd_Detraz,LettB,3))/12*Me_co,2),0)</f>
        <v>0</v>
      </c>
      <c r="AD37" s="20"/>
      <c r="AE37" s="20"/>
      <c r="AF37" s="62"/>
      <c r="AH37" s="184"/>
      <c r="AI37" s="315"/>
      <c r="AJ37" s="316"/>
      <c r="AK37" s="77"/>
      <c r="AL37" s="123">
        <v>10</v>
      </c>
      <c r="AM37" s="124">
        <f>ROUND(DetrConiuge-(Ind*Rapp),2)</f>
        <v>800</v>
      </c>
      <c r="AO37">
        <f>SUM(AO18:AO36)</f>
        <v>0</v>
      </c>
      <c r="AT37" s="77"/>
      <c r="AU37" s="256"/>
      <c r="AV37" s="257"/>
      <c r="AW37" s="258"/>
      <c r="AX37" s="77"/>
      <c r="AY37" s="77"/>
      <c r="AZ37" s="77"/>
      <c r="BA37" s="77"/>
      <c r="BB37" s="77"/>
      <c r="BC37" s="77"/>
      <c r="BD37" s="77"/>
      <c r="BE37" s="77"/>
      <c r="BF37" s="77"/>
      <c r="BG37" s="77"/>
    </row>
    <row r="38" spans="1:59" ht="13.5" thickBot="1">
      <c r="A38" s="225" t="s">
        <v>42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7"/>
      <c r="M38" s="3">
        <f>ROUND(AC38/12,0)</f>
        <v>0</v>
      </c>
      <c r="N38" s="20"/>
      <c r="O38" s="20"/>
      <c r="P38" s="62"/>
      <c r="Q38" s="225" t="s">
        <v>42</v>
      </c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7"/>
      <c r="AC38" s="3">
        <f>SUMIF(AB25:AB31,"&gt;0")</f>
        <v>0</v>
      </c>
      <c r="AD38" s="20"/>
      <c r="AE38" s="20"/>
      <c r="AF38" s="62"/>
      <c r="AH38" s="109">
        <f>IF(Lordo&gt;0,ROUND((VLOOKUP(Redd_Detraz,ConDetr,3)+VLOOKUP(Redd_Detraz,LettB,3)),5),0)</f>
        <v>0</v>
      </c>
      <c r="AI38" s="315"/>
      <c r="AJ38" s="110">
        <v>40000</v>
      </c>
      <c r="AK38" s="77"/>
      <c r="AL38" s="125"/>
      <c r="AM38" s="126">
        <f>+DetrRid</f>
        <v>690</v>
      </c>
      <c r="AT38" s="77"/>
      <c r="AU38" s="259"/>
      <c r="AV38" s="260"/>
      <c r="AW38" s="261"/>
      <c r="AX38" s="77"/>
      <c r="AY38" s="77"/>
      <c r="AZ38" s="77"/>
      <c r="BA38" s="77"/>
      <c r="BB38" s="77"/>
      <c r="BC38" s="77"/>
      <c r="BD38" s="77"/>
      <c r="BE38" s="77"/>
      <c r="BF38" s="77"/>
      <c r="BG38" s="77"/>
    </row>
    <row r="39" spans="1:59" ht="13.5" thickTop="1">
      <c r="A39" s="225" t="s">
        <v>56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7"/>
      <c r="M39" s="3">
        <f>IF(D33&gt;0,IF(P33&gt;0,ROUND(AC39/12,0),0),0)</f>
        <v>0</v>
      </c>
      <c r="N39" s="20"/>
      <c r="O39" s="20"/>
      <c r="P39" s="62"/>
      <c r="Q39" s="225" t="s">
        <v>56</v>
      </c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7"/>
      <c r="AC39" s="3">
        <f>IF(T33&gt;0,ROUND(dsaltri*T33/12*Y33/AF33,2),0)</f>
        <v>0</v>
      </c>
      <c r="AD39" s="20"/>
      <c r="AE39" s="20"/>
      <c r="AF39" s="62"/>
      <c r="AI39" s="315"/>
      <c r="AJ39" s="316">
        <v>80000</v>
      </c>
      <c r="AK39" s="77"/>
      <c r="AL39" s="118">
        <v>0</v>
      </c>
      <c r="AM39" s="119">
        <v>0</v>
      </c>
      <c r="AP39">
        <f>IF(AO37&gt;0,IF(VLOOKUP(AP42,abi,2)&lt;DetrRid,DetrRid,VLOOKUP(AP42,abi,2)),0)</f>
        <v>0</v>
      </c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</row>
    <row r="40" spans="1:59" ht="12.75">
      <c r="A40" s="172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4"/>
      <c r="Q40" s="172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4"/>
      <c r="AH40" s="184" t="s">
        <v>63</v>
      </c>
      <c r="AI40" s="315"/>
      <c r="AJ40" s="316"/>
      <c r="AK40" s="77"/>
      <c r="AL40" s="120">
        <v>0.0001</v>
      </c>
      <c r="AM40" s="121">
        <f>ROUND(DetrRid*Rap1,2)</f>
        <v>1380</v>
      </c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</row>
    <row r="41" spans="1:59" ht="12.75">
      <c r="A41" s="225" t="s">
        <v>76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7"/>
      <c r="M41" s="3">
        <f>SUM(M37:M39)</f>
        <v>0</v>
      </c>
      <c r="N41" s="20"/>
      <c r="O41" s="20"/>
      <c r="P41" s="62"/>
      <c r="Q41" s="225" t="s">
        <v>76</v>
      </c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7"/>
      <c r="AC41" s="3">
        <f>SUM(AC37:AC39)</f>
        <v>0</v>
      </c>
      <c r="AD41" s="20"/>
      <c r="AE41" s="20"/>
      <c r="AF41" s="62"/>
      <c r="AH41" s="184"/>
      <c r="AI41" s="315"/>
      <c r="AJ41" s="316"/>
      <c r="AK41" s="77"/>
      <c r="AL41" s="122">
        <v>1</v>
      </c>
      <c r="AM41" s="121">
        <f>ROUND(DetrRid*Rap1,2)</f>
        <v>1380</v>
      </c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</row>
    <row r="42" spans="1:59" ht="12.75">
      <c r="A42" s="165" t="s">
        <v>71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7"/>
      <c r="Q42" s="165" t="s">
        <v>71</v>
      </c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7"/>
      <c r="AH42" s="106">
        <f>dsfig+IF($V$25&gt;0,dsfg3-dsfig,0)+IF($Y$25&gt;0,dsfhc,0)</f>
        <v>0</v>
      </c>
      <c r="AI42" s="315"/>
      <c r="AJ42" s="316"/>
      <c r="AK42" s="77"/>
      <c r="AL42" s="123">
        <v>10</v>
      </c>
      <c r="AM42" s="124">
        <f>ROUND(DetrRid*Rap1,2)</f>
        <v>1380</v>
      </c>
      <c r="AP42" t="s">
        <v>58</v>
      </c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</row>
    <row r="43" spans="1:59" ht="12.75">
      <c r="A43" s="155" t="s">
        <v>73</v>
      </c>
      <c r="B43" s="156"/>
      <c r="C43" s="156"/>
      <c r="D43" s="156"/>
      <c r="E43" s="156"/>
      <c r="F43" s="157"/>
      <c r="G43" s="46" t="str">
        <f>IF(E17&gt;0,IF(G44&gt;0,Vuota1,"x"),Vuota1)</f>
        <v>        </v>
      </c>
      <c r="H43" s="63"/>
      <c r="I43" s="312" t="s">
        <v>141</v>
      </c>
      <c r="J43" s="158"/>
      <c r="K43" s="158"/>
      <c r="L43" s="158"/>
      <c r="M43" s="2">
        <v>30</v>
      </c>
      <c r="N43" s="20"/>
      <c r="O43" s="20"/>
      <c r="P43" s="62"/>
      <c r="Q43" s="155" t="s">
        <v>73</v>
      </c>
      <c r="R43" s="156"/>
      <c r="S43" s="156"/>
      <c r="T43" s="156"/>
      <c r="U43" s="156"/>
      <c r="V43" s="157"/>
      <c r="W43" s="46" t="str">
        <f>IF(W44&gt;0,Vuota1,"x")</f>
        <v>x</v>
      </c>
      <c r="X43" s="63"/>
      <c r="Y43" s="312" t="s">
        <v>75</v>
      </c>
      <c r="Z43" s="158"/>
      <c r="AA43" s="158"/>
      <c r="AB43" s="158"/>
      <c r="AC43" s="2">
        <v>365</v>
      </c>
      <c r="AD43" s="20"/>
      <c r="AE43" s="20"/>
      <c r="AF43" s="62"/>
      <c r="AI43" s="315"/>
      <c r="AJ43" s="114">
        <v>1000000000</v>
      </c>
      <c r="AK43" s="77"/>
      <c r="AL43" s="130">
        <v>0</v>
      </c>
      <c r="AM43" s="124">
        <v>0</v>
      </c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</row>
    <row r="44" spans="1:59" ht="12.75">
      <c r="A44" s="67" t="s">
        <v>74</v>
      </c>
      <c r="B44" s="68"/>
      <c r="C44" s="68"/>
      <c r="D44" s="68"/>
      <c r="E44" s="68"/>
      <c r="F44" s="20"/>
      <c r="G44" s="2"/>
      <c r="H44" s="63"/>
      <c r="I44" s="63"/>
      <c r="J44" s="63"/>
      <c r="K44" s="158" t="s">
        <v>77</v>
      </c>
      <c r="L44" s="158"/>
      <c r="M44" s="158"/>
      <c r="N44" s="159"/>
      <c r="O44" s="39">
        <f>IF(E17&gt;0,ROUND(AE44/365*M43,0),0)</f>
        <v>0</v>
      </c>
      <c r="P44" s="62"/>
      <c r="Q44" s="67" t="s">
        <v>74</v>
      </c>
      <c r="R44" s="68"/>
      <c r="S44" s="68"/>
      <c r="T44" s="68"/>
      <c r="U44" s="68"/>
      <c r="V44" s="20"/>
      <c r="W44" s="2">
        <f>+G44</f>
        <v>0</v>
      </c>
      <c r="X44" s="63"/>
      <c r="Y44" s="63"/>
      <c r="Z44" s="63"/>
      <c r="AA44" s="158" t="s">
        <v>77</v>
      </c>
      <c r="AB44" s="158"/>
      <c r="AC44" s="158"/>
      <c r="AD44" s="159"/>
      <c r="AE44" s="39">
        <f>IF(Lordo&gt;0,IF(W44&gt;0,IF(Redd_Detraz&lt;8000.01,IF(AH44&gt;AH47,AH44,AH47),AH44),IF(Redd_Detraz&lt;8000.01,IF(AH44&gt;AH46,AH44,AH46),AH44)),0)</f>
        <v>0</v>
      </c>
      <c r="AF44" s="62"/>
      <c r="AH44" s="373">
        <f>IF(Redd_Detraz&gt;0,ROUND((VLOOKUP(Redd_Detraz,Altre_detraz,2)/365*AC43+VLOOKUP(Redd_Detraz,Aum_altre,2)),5),0)</f>
        <v>0</v>
      </c>
      <c r="AI44" s="315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</row>
    <row r="45" spans="1:59" ht="12.75" customHeight="1" thickBot="1">
      <c r="A45" s="6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70"/>
      <c r="Q45" s="69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70"/>
      <c r="AI45" s="315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</row>
    <row r="46" spans="1:59" ht="12.75" customHeight="1" thickBot="1">
      <c r="A46" s="220" t="s">
        <v>142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2"/>
      <c r="O46" s="228">
        <f>+E17-L18</f>
        <v>0</v>
      </c>
      <c r="P46" s="228"/>
      <c r="Q46" s="71" t="s">
        <v>20</v>
      </c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228">
        <f>+Reddito_imponibile_mensile+Gratif_Anno</f>
        <v>0</v>
      </c>
      <c r="AF46" s="228"/>
      <c r="AH46" s="106">
        <v>690</v>
      </c>
      <c r="AI46" s="315"/>
      <c r="AJ46" s="106">
        <v>0.001</v>
      </c>
      <c r="AK46" s="87"/>
      <c r="AL46" s="106">
        <f>VLOOKUP(Rapp,quin,2)</f>
        <v>0</v>
      </c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</row>
    <row r="47" spans="1:59" ht="12.75" customHeight="1" thickBot="1">
      <c r="A47" s="220" t="s">
        <v>143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2"/>
      <c r="O47" s="162">
        <f>ROUND(IreTab/12,5)</f>
        <v>0</v>
      </c>
      <c r="P47" s="162"/>
      <c r="Q47" s="35" t="s">
        <v>60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14">
        <f>IF(Lordo&gt;0,IF(Reddito_imponibile_mensile&gt;0,ROUND((Reddito_imponibile_mensile-VLOOKUP(Reddito_imponibile_mensile,Aliquote,1))*VLOOKUP(Reddito_imponibile_mensile,Aliquote,3),5)+VLOOKUP(Reddito_imponibile_mensile,Aliquote,4),0)+IF(Gratif_Anno&gt;0,ROUND(Gratif_Anno*VLOOKUP(ReddNetto,Aliquote,3),5),0),0)</f>
        <v>0</v>
      </c>
      <c r="AF47" s="314"/>
      <c r="AH47" s="106">
        <v>1380</v>
      </c>
      <c r="AI47" s="315"/>
      <c r="AJ47" s="106">
        <v>15000</v>
      </c>
      <c r="AK47" s="87"/>
      <c r="AL47" s="106">
        <f>+DetrRid</f>
        <v>690</v>
      </c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</row>
    <row r="48" spans="1:59" ht="13.5" thickBot="1">
      <c r="A48" s="220" t="s">
        <v>144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2"/>
      <c r="O48" s="162">
        <f>+M41+O44</f>
        <v>0</v>
      </c>
      <c r="P48" s="162"/>
      <c r="Q48" s="37" t="s">
        <v>36</v>
      </c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162">
        <f>+AC41+AE44</f>
        <v>0</v>
      </c>
      <c r="AF48" s="162"/>
      <c r="AI48" s="315"/>
      <c r="AJ48" s="106">
        <v>40000</v>
      </c>
      <c r="AK48" s="87"/>
      <c r="AL48" s="106">
        <f>VLOOKUP(Rap1,ottan,2)</f>
        <v>1380</v>
      </c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</row>
    <row r="49" spans="1:59" ht="16.5" thickBot="1">
      <c r="A49" s="296" t="s">
        <v>147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97"/>
      <c r="O49" s="326">
        <f>IF(O47-O48&gt;0,O47-O48,0)</f>
        <v>0</v>
      </c>
      <c r="P49" s="178"/>
      <c r="Q49" s="71" t="s">
        <v>61</v>
      </c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177">
        <f>+AE47-AE48</f>
        <v>0</v>
      </c>
      <c r="AF49" s="178"/>
      <c r="AI49" s="315"/>
      <c r="AJ49" s="106">
        <v>80000</v>
      </c>
      <c r="AK49" s="87"/>
      <c r="AL49" s="106">
        <v>0</v>
      </c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</row>
    <row r="50" spans="1:59" ht="16.5" thickBot="1">
      <c r="A50" s="190" t="s">
        <v>146</v>
      </c>
      <c r="B50" s="190"/>
      <c r="C50" s="190"/>
      <c r="D50" s="190"/>
      <c r="E50" s="191" t="str">
        <f>IF(E17&gt;0,VLOOKUP(ReddNetto,Aliquote,3),Vuota1)</f>
        <v>        </v>
      </c>
      <c r="F50" s="191"/>
      <c r="G50" s="152"/>
      <c r="H50" s="152"/>
      <c r="I50" s="152"/>
      <c r="J50" s="152"/>
      <c r="K50" s="323" t="s">
        <v>131</v>
      </c>
      <c r="L50" s="323"/>
      <c r="M50" s="323"/>
      <c r="N50" s="323"/>
      <c r="O50" s="324">
        <f>+O49</f>
        <v>0</v>
      </c>
      <c r="P50" s="325"/>
      <c r="Q50" s="72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73"/>
      <c r="AI50" s="315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</row>
    <row r="51" spans="17:59" ht="12.75">
      <c r="Q51" s="57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62"/>
      <c r="AI51" s="315"/>
      <c r="AJ51" s="137">
        <v>0</v>
      </c>
      <c r="AK51" s="138"/>
      <c r="AL51" s="115">
        <v>0</v>
      </c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</row>
    <row r="52" spans="17:59" ht="13.5">
      <c r="Q52" s="168" t="s">
        <v>21</v>
      </c>
      <c r="R52" s="169"/>
      <c r="S52" s="169"/>
      <c r="T52" s="153"/>
      <c r="U52" s="163" t="s">
        <v>22</v>
      </c>
      <c r="V52" s="154"/>
      <c r="W52" s="164"/>
      <c r="X52" s="163" t="s">
        <v>23</v>
      </c>
      <c r="Y52" s="154"/>
      <c r="Z52" s="164"/>
      <c r="AA52" s="163" t="s">
        <v>24</v>
      </c>
      <c r="AB52" s="164"/>
      <c r="AC52" s="52" t="s">
        <v>25</v>
      </c>
      <c r="AD52" s="163" t="s">
        <v>26</v>
      </c>
      <c r="AE52" s="164"/>
      <c r="AF52" s="62"/>
      <c r="AI52" s="315"/>
      <c r="AJ52" s="139">
        <v>29000.01</v>
      </c>
      <c r="AK52" s="140"/>
      <c r="AL52" s="116">
        <v>10</v>
      </c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</row>
    <row r="53" spans="17:59" ht="12.75">
      <c r="Q53" s="163" t="s">
        <v>27</v>
      </c>
      <c r="R53" s="154"/>
      <c r="S53" s="154"/>
      <c r="T53" s="164"/>
      <c r="U53" s="53"/>
      <c r="V53" s="2">
        <v>1.4</v>
      </c>
      <c r="W53" s="53"/>
      <c r="X53" s="175">
        <f>+ReddNetto</f>
        <v>0</v>
      </c>
      <c r="Y53" s="219"/>
      <c r="Z53" s="176"/>
      <c r="AA53" s="175">
        <f>ROUND(X53*V53%,2)</f>
        <v>0</v>
      </c>
      <c r="AB53" s="176"/>
      <c r="AC53" s="2">
        <v>10</v>
      </c>
      <c r="AD53" s="175">
        <f>ROUND(AA53/AC53,2)</f>
        <v>0</v>
      </c>
      <c r="AE53" s="176"/>
      <c r="AF53" s="62"/>
      <c r="AI53" s="315"/>
      <c r="AJ53" s="139">
        <v>29200.01</v>
      </c>
      <c r="AK53" s="140"/>
      <c r="AL53" s="116">
        <v>20</v>
      </c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</row>
    <row r="54" spans="17:59" ht="12.75">
      <c r="Q54" s="163" t="s">
        <v>28</v>
      </c>
      <c r="R54" s="154"/>
      <c r="S54" s="154"/>
      <c r="T54" s="164"/>
      <c r="U54" s="53"/>
      <c r="V54" s="2">
        <v>0.4</v>
      </c>
      <c r="W54" s="53"/>
      <c r="X54" s="175">
        <f>+ReddNetto</f>
        <v>0</v>
      </c>
      <c r="Y54" s="219"/>
      <c r="Z54" s="176"/>
      <c r="AA54" s="175">
        <f>ROUND(X54*V54%,2)</f>
        <v>0</v>
      </c>
      <c r="AB54" s="176"/>
      <c r="AC54" s="52" t="s">
        <v>25</v>
      </c>
      <c r="AD54" s="163" t="s">
        <v>26</v>
      </c>
      <c r="AE54" s="164"/>
      <c r="AF54" s="62"/>
      <c r="AI54" s="315"/>
      <c r="AJ54" s="139">
        <v>34700.01</v>
      </c>
      <c r="AK54" s="140"/>
      <c r="AL54" s="116">
        <v>30</v>
      </c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</row>
    <row r="55" spans="17:59" ht="12.75">
      <c r="Q55" s="282" t="s">
        <v>87</v>
      </c>
      <c r="R55" s="282"/>
      <c r="S55" s="84">
        <v>16</v>
      </c>
      <c r="T55" s="282" t="s">
        <v>88</v>
      </c>
      <c r="U55" s="282"/>
      <c r="V55" s="282"/>
      <c r="W55" s="282"/>
      <c r="X55" s="283" t="s">
        <v>89</v>
      </c>
      <c r="Y55" s="283"/>
      <c r="Z55" s="50" t="s">
        <v>79</v>
      </c>
      <c r="AA55" s="51"/>
      <c r="AB55" s="39">
        <f>ROUND(AA54*30%,2)</f>
        <v>0</v>
      </c>
      <c r="AC55" s="2">
        <v>10</v>
      </c>
      <c r="AD55" s="175">
        <f>ROUND(AB55/AC55,2)</f>
        <v>0</v>
      </c>
      <c r="AE55" s="176"/>
      <c r="AF55" s="62"/>
      <c r="AI55" s="315"/>
      <c r="AJ55" s="139">
        <v>35000.01</v>
      </c>
      <c r="AK55" s="140"/>
      <c r="AL55" s="116">
        <v>20</v>
      </c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</row>
    <row r="56" spans="17:59" ht="12.75">
      <c r="Q56" s="57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62"/>
      <c r="AI56" s="315"/>
      <c r="AJ56" s="139">
        <v>35100.01</v>
      </c>
      <c r="AK56" s="140"/>
      <c r="AL56" s="116">
        <v>10</v>
      </c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</row>
    <row r="57" spans="17:59" ht="12.75" customHeight="1" thickBot="1">
      <c r="Q57" s="57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62"/>
      <c r="AI57" s="315"/>
      <c r="AJ57" s="141">
        <v>35200.01</v>
      </c>
      <c r="AK57" s="142"/>
      <c r="AL57" s="117">
        <v>0</v>
      </c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</row>
    <row r="58" spans="17:59" ht="12.75">
      <c r="Q58" s="74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</row>
    <row r="59" spans="35:39" ht="12.75">
      <c r="AI59" t="s">
        <v>46</v>
      </c>
      <c r="AJ59" s="19" t="s">
        <v>47</v>
      </c>
      <c r="AK59" s="171" t="s">
        <v>52</v>
      </c>
      <c r="AL59" s="18" t="s">
        <v>48</v>
      </c>
      <c r="AM59" s="18" t="s">
        <v>53</v>
      </c>
    </row>
    <row r="60" spans="36:39" ht="12.75">
      <c r="AJ60" s="86">
        <v>95000</v>
      </c>
      <c r="AK60" s="171"/>
      <c r="AL60" s="106">
        <v>15000</v>
      </c>
      <c r="AM60" s="106">
        <f>IF(AK61&gt;1,ROUND((AK61-1)*AL60,2)+AJ60,AJ60)</f>
        <v>95000</v>
      </c>
    </row>
    <row r="61" spans="36:41" ht="12.75">
      <c r="AJ61" s="18" t="s">
        <v>55</v>
      </c>
      <c r="AK61" s="87">
        <f>+N_Fgl</f>
        <v>0</v>
      </c>
      <c r="AL61" s="18" t="s">
        <v>54</v>
      </c>
      <c r="AM61" s="18" t="s">
        <v>45</v>
      </c>
      <c r="AN61" s="18"/>
      <c r="AO61" s="18" t="s">
        <v>41</v>
      </c>
    </row>
    <row r="62" spans="35:44" ht="12.75">
      <c r="AI62" t="s">
        <v>51</v>
      </c>
      <c r="AJ62" s="106">
        <f>IF(Som_fg&gt;3,1000,800)</f>
        <v>800</v>
      </c>
      <c r="AL62" s="106">
        <f>ROUND(fgl*VLOOKUP($AO$62,IndRapp,2),2)</f>
        <v>0</v>
      </c>
      <c r="AM62" s="112">
        <v>0</v>
      </c>
      <c r="AN62" s="77">
        <v>0</v>
      </c>
      <c r="AO62" s="83">
        <f>ROUND((ImFisFin-Redd_Detraz)/ImFisFin,6)</f>
        <v>1</v>
      </c>
      <c r="AQ62" s="87">
        <f>+dsfig</f>
        <v>0</v>
      </c>
      <c r="AR62" s="87">
        <f>+AQ62</f>
        <v>0</v>
      </c>
    </row>
    <row r="63" spans="35:44" ht="12.75">
      <c r="AI63" t="s">
        <v>49</v>
      </c>
      <c r="AJ63" s="106">
        <f>IF(Som_fg&gt;3,1100,900)</f>
        <v>900</v>
      </c>
      <c r="AL63" s="106">
        <f>ROUND(AJ63*VLOOKUP($AO$62,IndRapp,2),2)</f>
        <v>0</v>
      </c>
      <c r="AM63" s="113">
        <v>0.0001</v>
      </c>
      <c r="AN63" s="77">
        <f>+AO62</f>
        <v>1</v>
      </c>
      <c r="AQ63" s="87">
        <f>+dsfg3</f>
        <v>0</v>
      </c>
      <c r="AR63" s="87">
        <f>+AQ63</f>
        <v>0</v>
      </c>
    </row>
    <row r="64" spans="35:44" ht="12.75">
      <c r="AI64" t="s">
        <v>50</v>
      </c>
      <c r="AJ64" s="106">
        <v>220</v>
      </c>
      <c r="AL64" s="106">
        <f>ROUND(fglh*VLOOKUP($AO$62,IndRapp,2),2)</f>
        <v>0</v>
      </c>
      <c r="AM64" s="110">
        <v>1</v>
      </c>
      <c r="AN64" s="77">
        <v>0</v>
      </c>
      <c r="AQ64" s="87">
        <f>+dsfhc</f>
        <v>0</v>
      </c>
      <c r="AR64" s="87">
        <f>+AQ64</f>
        <v>0</v>
      </c>
    </row>
    <row r="65" spans="38:40" ht="12.75">
      <c r="AL65" s="85"/>
      <c r="AM65" s="110">
        <v>10</v>
      </c>
      <c r="AN65" s="77">
        <f>+AO62</f>
        <v>1</v>
      </c>
    </row>
    <row r="66" spans="35:38" ht="12.75">
      <c r="AI66" t="s">
        <v>57</v>
      </c>
      <c r="AJ66" s="87">
        <v>750</v>
      </c>
      <c r="AL66" s="106">
        <f>ROUND(Altri*VLOOKUP(AO67,Rapp_Altri,2),4)</f>
        <v>0</v>
      </c>
    </row>
    <row r="67" ht="12.75">
      <c r="AO67" s="83">
        <f>TRUNC((80000-Redd_Detraz)/80000,6)</f>
        <v>1</v>
      </c>
    </row>
    <row r="68" spans="35:41" ht="12.75">
      <c r="AI68" t="s">
        <v>72</v>
      </c>
      <c r="AL68" t="s">
        <v>41</v>
      </c>
      <c r="AN68" s="131">
        <v>0</v>
      </c>
      <c r="AO68" s="87">
        <v>0</v>
      </c>
    </row>
    <row r="69" spans="35:41" ht="12.75">
      <c r="AI69" s="106">
        <v>1</v>
      </c>
      <c r="AJ69" s="106">
        <v>1840</v>
      </c>
      <c r="AL69" s="83">
        <f>IF(ROUND((15000-Redd_Detraz)/7000,6)&gt;0,ROUND((15000-Redd_Detraz)/7000,6),0)</f>
        <v>2.142857</v>
      </c>
      <c r="AN69" s="132">
        <v>0.0001</v>
      </c>
      <c r="AO69" s="133">
        <f>+AO67</f>
        <v>1</v>
      </c>
    </row>
    <row r="70" spans="35:41" ht="12.75">
      <c r="AI70" s="106">
        <v>8000.01</v>
      </c>
      <c r="AJ70" s="106">
        <f>1338+ROUND(502*AL69,2)</f>
        <v>2413.71</v>
      </c>
      <c r="AL70">
        <f>ROUND((55000-Redd_Detraz)/40000,6)</f>
        <v>1.375</v>
      </c>
      <c r="AN70" s="107">
        <v>1</v>
      </c>
      <c r="AO70" s="87">
        <v>0</v>
      </c>
    </row>
    <row r="71" spans="35:41" ht="12.75">
      <c r="AI71" s="106">
        <v>15000.01</v>
      </c>
      <c r="AJ71" s="106">
        <f>ROUND(1338*AL70,2)</f>
        <v>1839.75</v>
      </c>
      <c r="AN71" s="107">
        <v>10</v>
      </c>
      <c r="AO71" s="133">
        <f>+AO67</f>
        <v>1</v>
      </c>
    </row>
    <row r="72" spans="35:41" ht="12.75">
      <c r="AI72" s="106">
        <v>55000.01</v>
      </c>
      <c r="AJ72" s="106">
        <v>0</v>
      </c>
      <c r="AN72" s="12"/>
      <c r="AO72" s="83"/>
    </row>
    <row r="73" spans="35:36" ht="12.75">
      <c r="AI73" s="106">
        <v>100000000</v>
      </c>
      <c r="AJ73" s="106">
        <v>0</v>
      </c>
    </row>
    <row r="75" spans="35:36" ht="12.75">
      <c r="AI75" s="108">
        <v>0</v>
      </c>
      <c r="AJ75" s="87">
        <v>0</v>
      </c>
    </row>
    <row r="76" spans="35:36" ht="12.75">
      <c r="AI76" s="108">
        <v>23000.01</v>
      </c>
      <c r="AJ76" s="87">
        <v>10</v>
      </c>
    </row>
    <row r="77" spans="35:36" ht="12.75">
      <c r="AI77" s="108">
        <v>24000.01</v>
      </c>
      <c r="AJ77" s="87">
        <v>20</v>
      </c>
    </row>
    <row r="78" spans="35:36" ht="12.75">
      <c r="AI78" s="108">
        <v>25000.01</v>
      </c>
      <c r="AJ78" s="87">
        <v>30</v>
      </c>
    </row>
    <row r="79" spans="35:36" ht="12.75">
      <c r="AI79" s="108">
        <v>26000.01</v>
      </c>
      <c r="AJ79" s="87">
        <v>40</v>
      </c>
    </row>
    <row r="80" spans="35:36" ht="12.75">
      <c r="AI80" s="108">
        <v>27700.01</v>
      </c>
      <c r="AJ80" s="87">
        <v>25</v>
      </c>
    </row>
    <row r="81" spans="1:36" ht="12.75">
      <c r="A81" s="4"/>
      <c r="AI81" s="108">
        <v>28000.01</v>
      </c>
      <c r="AJ81" s="87">
        <v>0</v>
      </c>
    </row>
    <row r="111" ht="12.75">
      <c r="A111" s="4" t="s">
        <v>100</v>
      </c>
    </row>
    <row r="124" ht="12.75">
      <c r="A124" s="90"/>
    </row>
  </sheetData>
  <sheetProtection password="BE24" sheet="1" objects="1" scenarios="1" selectLockedCells="1"/>
  <mergeCells count="164">
    <mergeCell ref="O50:P50"/>
    <mergeCell ref="X12:AA12"/>
    <mergeCell ref="H11:K11"/>
    <mergeCell ref="X11:AA11"/>
    <mergeCell ref="O48:P48"/>
    <mergeCell ref="O49:P49"/>
    <mergeCell ref="A37:L37"/>
    <mergeCell ref="A38:L38"/>
    <mergeCell ref="H24:J24"/>
    <mergeCell ref="H12:K12"/>
    <mergeCell ref="E9:G9"/>
    <mergeCell ref="H9:K9"/>
    <mergeCell ref="E10:G10"/>
    <mergeCell ref="H10:K10"/>
    <mergeCell ref="M6:P6"/>
    <mergeCell ref="O47:P47"/>
    <mergeCell ref="A39:L39"/>
    <mergeCell ref="A40:P40"/>
    <mergeCell ref="A41:L41"/>
    <mergeCell ref="A42:P42"/>
    <mergeCell ref="A35:P35"/>
    <mergeCell ref="A36:P36"/>
    <mergeCell ref="E11:G11"/>
    <mergeCell ref="E12:G12"/>
    <mergeCell ref="A43:F43"/>
    <mergeCell ref="I43:L43"/>
    <mergeCell ref="K44:N44"/>
    <mergeCell ref="O46:P46"/>
    <mergeCell ref="A46:N46"/>
    <mergeCell ref="M25:O27"/>
    <mergeCell ref="B24:D24"/>
    <mergeCell ref="E24:G24"/>
    <mergeCell ref="P25:P27"/>
    <mergeCell ref="A33:C33"/>
    <mergeCell ref="K33:O34"/>
    <mergeCell ref="P33:P34"/>
    <mergeCell ref="M28:P29"/>
    <mergeCell ref="E13:G13"/>
    <mergeCell ref="E14:G14"/>
    <mergeCell ref="E15:G15"/>
    <mergeCell ref="H15:K15"/>
    <mergeCell ref="H14:K14"/>
    <mergeCell ref="H13:K13"/>
    <mergeCell ref="E8:G8"/>
    <mergeCell ref="H8:K8"/>
    <mergeCell ref="D5:I5"/>
    <mergeCell ref="J5:L5"/>
    <mergeCell ref="C6:G6"/>
    <mergeCell ref="A7:G7"/>
    <mergeCell ref="H7:L7"/>
    <mergeCell ref="A6:B6"/>
    <mergeCell ref="I6:K6"/>
    <mergeCell ref="N5:P5"/>
    <mergeCell ref="A1:P1"/>
    <mergeCell ref="A2:P2"/>
    <mergeCell ref="A3:P3"/>
    <mergeCell ref="J4:K4"/>
    <mergeCell ref="B4:G4"/>
    <mergeCell ref="Q1:AF1"/>
    <mergeCell ref="Q2:AF2"/>
    <mergeCell ref="AF33:AF34"/>
    <mergeCell ref="U15:W15"/>
    <mergeCell ref="Q7:W7"/>
    <mergeCell ref="Q6:S6"/>
    <mergeCell ref="Q20:AF20"/>
    <mergeCell ref="U10:W10"/>
    <mergeCell ref="U11:W11"/>
    <mergeCell ref="U12:W12"/>
    <mergeCell ref="AH36:AH37"/>
    <mergeCell ref="AH40:AH41"/>
    <mergeCell ref="AI1:AL1"/>
    <mergeCell ref="AI12:AM12"/>
    <mergeCell ref="AI19:AI57"/>
    <mergeCell ref="AJ19:AJ37"/>
    <mergeCell ref="AJ39:AJ42"/>
    <mergeCell ref="Q3:AF3"/>
    <mergeCell ref="T5:Y5"/>
    <mergeCell ref="Z5:AB5"/>
    <mergeCell ref="AK59:AK60"/>
    <mergeCell ref="Q40:AF40"/>
    <mergeCell ref="AA54:AB54"/>
    <mergeCell ref="AE49:AF49"/>
    <mergeCell ref="AE47:AF47"/>
    <mergeCell ref="AA52:AB52"/>
    <mergeCell ref="AD53:AE53"/>
    <mergeCell ref="AD55:AE55"/>
    <mergeCell ref="AD54:AE54"/>
    <mergeCell ref="Q42:AF42"/>
    <mergeCell ref="Q52:T52"/>
    <mergeCell ref="AA53:AB53"/>
    <mergeCell ref="X53:Z53"/>
    <mergeCell ref="U52:W52"/>
    <mergeCell ref="Q53:T53"/>
    <mergeCell ref="Q54:T54"/>
    <mergeCell ref="Q55:R55"/>
    <mergeCell ref="AC25:AE27"/>
    <mergeCell ref="AA33:AE34"/>
    <mergeCell ref="AD52:AE52"/>
    <mergeCell ref="AE48:AF48"/>
    <mergeCell ref="AE46:AF46"/>
    <mergeCell ref="Y43:AB43"/>
    <mergeCell ref="AA44:AD44"/>
    <mergeCell ref="X52:Z52"/>
    <mergeCell ref="Q33:S33"/>
    <mergeCell ref="Q21:S21"/>
    <mergeCell ref="Q43:V43"/>
    <mergeCell ref="Q39:AB39"/>
    <mergeCell ref="Q36:AF36"/>
    <mergeCell ref="AF25:AF27"/>
    <mergeCell ref="R24:T24"/>
    <mergeCell ref="U24:W24"/>
    <mergeCell ref="X24:Z24"/>
    <mergeCell ref="Q35:AF35"/>
    <mergeCell ref="T55:W55"/>
    <mergeCell ref="X55:Y55"/>
    <mergeCell ref="X14:AA14"/>
    <mergeCell ref="U13:W13"/>
    <mergeCell ref="X13:AA13"/>
    <mergeCell ref="X17:AA17"/>
    <mergeCell ref="X54:Z54"/>
    <mergeCell ref="U17:W17"/>
    <mergeCell ref="Q41:AB41"/>
    <mergeCell ref="Q38:AB38"/>
    <mergeCell ref="AU1:AW2"/>
    <mergeCell ref="AU21:AW25"/>
    <mergeCell ref="AU4:AW4"/>
    <mergeCell ref="AU5:AW5"/>
    <mergeCell ref="AU3:AW3"/>
    <mergeCell ref="X15:AA15"/>
    <mergeCell ref="U9:W9"/>
    <mergeCell ref="X7:AB7"/>
    <mergeCell ref="X9:AA9"/>
    <mergeCell ref="X10:AA10"/>
    <mergeCell ref="U8:W8"/>
    <mergeCell ref="X8:AA8"/>
    <mergeCell ref="Z4:AA4"/>
    <mergeCell ref="V6:Z6"/>
    <mergeCell ref="AB6:AC6"/>
    <mergeCell ref="T6:U6"/>
    <mergeCell ref="AD5:AF5"/>
    <mergeCell ref="AU30:AW38"/>
    <mergeCell ref="A15:D15"/>
    <mergeCell ref="A14:D14"/>
    <mergeCell ref="U14:W14"/>
    <mergeCell ref="E17:G17"/>
    <mergeCell ref="A20:P20"/>
    <mergeCell ref="X16:AA16"/>
    <mergeCell ref="A21:C21"/>
    <mergeCell ref="AC16:AD16"/>
    <mergeCell ref="A47:N47"/>
    <mergeCell ref="Q16:T16"/>
    <mergeCell ref="U16:W16"/>
    <mergeCell ref="H17:K17"/>
    <mergeCell ref="H16:K16"/>
    <mergeCell ref="A16:D16"/>
    <mergeCell ref="E16:G16"/>
    <mergeCell ref="H18:K18"/>
    <mergeCell ref="A17:D17"/>
    <mergeCell ref="Q37:AB37"/>
    <mergeCell ref="A48:N48"/>
    <mergeCell ref="A49:N49"/>
    <mergeCell ref="A50:D50"/>
    <mergeCell ref="E50:F50"/>
    <mergeCell ref="K50:N50"/>
  </mergeCells>
  <conditionalFormatting sqref="Z27">
    <cfRule type="expression" priority="1" dxfId="0" stopIfTrue="1">
      <formula>$T$23&gt;2</formula>
    </cfRule>
  </conditionalFormatting>
  <conditionalFormatting sqref="Z28">
    <cfRule type="expression" priority="2" dxfId="0" stopIfTrue="1">
      <formula>$T$23&gt;3</formula>
    </cfRule>
  </conditionalFormatting>
  <conditionalFormatting sqref="Z29">
    <cfRule type="expression" priority="3" dxfId="0" stopIfTrue="1">
      <formula>$T$23&gt;4</formula>
    </cfRule>
  </conditionalFormatting>
  <conditionalFormatting sqref="Z30">
    <cfRule type="expression" priority="4" dxfId="0" stopIfTrue="1">
      <formula>$T$23&gt;5</formula>
    </cfRule>
  </conditionalFormatting>
  <conditionalFormatting sqref="Z31">
    <cfRule type="expression" priority="5" dxfId="0" stopIfTrue="1">
      <formula>$T$23&gt;6</formula>
    </cfRule>
  </conditionalFormatting>
  <conditionalFormatting sqref="AB25">
    <cfRule type="expression" priority="6" dxfId="1" stopIfTrue="1">
      <formula>$T$23&gt;0</formula>
    </cfRule>
  </conditionalFormatting>
  <conditionalFormatting sqref="AB26">
    <cfRule type="expression" priority="7" dxfId="1" stopIfTrue="1">
      <formula>$T$23&gt;1</formula>
    </cfRule>
  </conditionalFormatting>
  <conditionalFormatting sqref="AB27">
    <cfRule type="expression" priority="8" dxfId="1" stopIfTrue="1">
      <formula>$T$23&gt;2</formula>
    </cfRule>
  </conditionalFormatting>
  <conditionalFormatting sqref="AB28">
    <cfRule type="expression" priority="9" dxfId="1" stopIfTrue="1">
      <formula>$T$23&gt;3</formula>
    </cfRule>
  </conditionalFormatting>
  <conditionalFormatting sqref="AB29">
    <cfRule type="expression" priority="10" dxfId="1" stopIfTrue="1">
      <formula>$T$23&gt;4</formula>
    </cfRule>
  </conditionalFormatting>
  <conditionalFormatting sqref="AB30">
    <cfRule type="expression" priority="11" dxfId="1" stopIfTrue="1">
      <formula>$T$23&gt;5</formula>
    </cfRule>
  </conditionalFormatting>
  <conditionalFormatting sqref="AB31">
    <cfRule type="expression" priority="12" dxfId="1" stopIfTrue="1">
      <formula>$T$23&gt;6</formula>
    </cfRule>
  </conditionalFormatting>
  <conditionalFormatting sqref="Q26">
    <cfRule type="expression" priority="13" dxfId="2" stopIfTrue="1">
      <formula>$T$23&gt;1</formula>
    </cfRule>
  </conditionalFormatting>
  <conditionalFormatting sqref="Q25 T25 W25 Z25 G25 D25">
    <cfRule type="expression" priority="14" dxfId="2" stopIfTrue="1">
      <formula>$T$23&gt;0</formula>
    </cfRule>
  </conditionalFormatting>
  <conditionalFormatting sqref="R25 J25:K25">
    <cfRule type="expression" priority="15" dxfId="3" stopIfTrue="1">
      <formula>$T$23&gt;0</formula>
    </cfRule>
  </conditionalFormatting>
  <conditionalFormatting sqref="U25 X25 E25 H25">
    <cfRule type="expression" priority="16" dxfId="4" stopIfTrue="1">
      <formula>$T$23&gt;0</formula>
    </cfRule>
  </conditionalFormatting>
  <conditionalFormatting sqref="Y21">
    <cfRule type="expression" priority="17" dxfId="5" stopIfTrue="1">
      <formula>$T$21="si"</formula>
    </cfRule>
  </conditionalFormatting>
  <conditionalFormatting sqref="AD23 AA25 C25 F25 I25 V25:V31 S25:S31 Y25:Y31">
    <cfRule type="expression" priority="18" dxfId="5" stopIfTrue="1">
      <formula>$T$23&gt;0</formula>
    </cfRule>
  </conditionalFormatting>
  <conditionalFormatting sqref="AF23">
    <cfRule type="expression" priority="19" dxfId="5" stopIfTrue="1">
      <formula>$AD$23&gt;0</formula>
    </cfRule>
  </conditionalFormatting>
  <conditionalFormatting sqref="F26 C26 I26 AA26">
    <cfRule type="expression" priority="20" dxfId="5" stopIfTrue="1">
      <formula>$T$23&gt;1</formula>
    </cfRule>
  </conditionalFormatting>
  <conditionalFormatting sqref="F27 C27 I27 AA27">
    <cfRule type="expression" priority="21" dxfId="5" stopIfTrue="1">
      <formula>$T$23&gt;2</formula>
    </cfRule>
  </conditionalFormatting>
  <conditionalFormatting sqref="F28 C28 I28 AA28">
    <cfRule type="expression" priority="22" dxfId="5" stopIfTrue="1">
      <formula>$T$23&gt;3</formula>
    </cfRule>
  </conditionalFormatting>
  <conditionalFormatting sqref="F29 C29 I29 AA29">
    <cfRule type="expression" priority="23" dxfId="5" stopIfTrue="1">
      <formula>$T$23&gt;4</formula>
    </cfRule>
  </conditionalFormatting>
  <conditionalFormatting sqref="AA30">
    <cfRule type="expression" priority="24" dxfId="5" stopIfTrue="1">
      <formula>$T$23&gt;5</formula>
    </cfRule>
  </conditionalFormatting>
  <conditionalFormatting sqref="AA31">
    <cfRule type="expression" priority="25" dxfId="5" stopIfTrue="1">
      <formula>$T$23&gt;6</formula>
    </cfRule>
  </conditionalFormatting>
  <conditionalFormatting sqref="Y34">
    <cfRule type="expression" priority="26" dxfId="5" stopIfTrue="1">
      <formula>$T$33="si"</formula>
    </cfRule>
  </conditionalFormatting>
  <conditionalFormatting sqref="Y33 AF33:AF34 P33:P34">
    <cfRule type="expression" priority="27" dxfId="5" stopIfTrue="1">
      <formula>$T$33&gt;0</formula>
    </cfRule>
  </conditionalFormatting>
  <conditionalFormatting sqref="AA33:AE34 K33:O34">
    <cfRule type="expression" priority="28" dxfId="1" stopIfTrue="1">
      <formula>$T$33&gt;0</formula>
    </cfRule>
  </conditionalFormatting>
  <conditionalFormatting sqref="R26 T26:U26 W26:X26 Z26 G26:H26 D26:E26 J26:K26">
    <cfRule type="expression" priority="29" dxfId="3" stopIfTrue="1">
      <formula>$T$23&gt;1</formula>
    </cfRule>
  </conditionalFormatting>
  <conditionalFormatting sqref="R27 T27:U27 W27:X27 G27:H27 D27:E27 J27:K27">
    <cfRule type="expression" priority="30" dxfId="3" stopIfTrue="1">
      <formula>$T$23&gt;2</formula>
    </cfRule>
  </conditionalFormatting>
  <conditionalFormatting sqref="Q27">
    <cfRule type="expression" priority="31" dxfId="2" stopIfTrue="1">
      <formula>$T$23&gt;2</formula>
    </cfRule>
  </conditionalFormatting>
  <conditionalFormatting sqref="Q28">
    <cfRule type="expression" priority="32" dxfId="2" stopIfTrue="1">
      <formula>$T$23&gt;3</formula>
    </cfRule>
  </conditionalFormatting>
  <conditionalFormatting sqref="R28 T28:U28 W28:X28 G28:H28 D28:E28 J28:K28">
    <cfRule type="expression" priority="33" dxfId="3" stopIfTrue="1">
      <formula>$T$23&gt;3</formula>
    </cfRule>
  </conditionalFormatting>
  <conditionalFormatting sqref="Q29">
    <cfRule type="expression" priority="34" dxfId="2" stopIfTrue="1">
      <formula>$T$23&gt;4</formula>
    </cfRule>
  </conditionalFormatting>
  <conditionalFormatting sqref="R29 T29:U29 W29:X29 G29:H29 D29:E29 J29:K29">
    <cfRule type="expression" priority="35" dxfId="3" stopIfTrue="1">
      <formula>$T$23&gt;4</formula>
    </cfRule>
  </conditionalFormatting>
  <conditionalFormatting sqref="Q30">
    <cfRule type="expression" priority="36" dxfId="2" stopIfTrue="1">
      <formula>$T$23&gt;5</formula>
    </cfRule>
  </conditionalFormatting>
  <conditionalFormatting sqref="R30 T30:U30 W30:X30">
    <cfRule type="expression" priority="37" dxfId="3" stopIfTrue="1">
      <formula>$T$23&gt;5</formula>
    </cfRule>
  </conditionalFormatting>
  <conditionalFormatting sqref="Q31">
    <cfRule type="expression" priority="38" dxfId="2" stopIfTrue="1">
      <formula>$T$23&gt;6</formula>
    </cfRule>
  </conditionalFormatting>
  <conditionalFormatting sqref="R31 T31:U31 W31:X31">
    <cfRule type="expression" priority="39" dxfId="3" stopIfTrue="1">
      <formula>$T$23&gt;6</formula>
    </cfRule>
  </conditionalFormatting>
  <conditionalFormatting sqref="L25">
    <cfRule type="expression" priority="40" dxfId="1" stopIfTrue="1">
      <formula>$D$23&gt;0</formula>
    </cfRule>
  </conditionalFormatting>
  <conditionalFormatting sqref="N23">
    <cfRule type="expression" priority="41" dxfId="5" stopIfTrue="1">
      <formula>$D$23&gt;0</formula>
    </cfRule>
  </conditionalFormatting>
  <conditionalFormatting sqref="C30 F30 I30">
    <cfRule type="expression" priority="42" dxfId="5" stopIfTrue="1">
      <formula>$D$23&gt;5</formula>
    </cfRule>
  </conditionalFormatting>
  <conditionalFormatting sqref="C31 F31 I31">
    <cfRule type="expression" priority="43" dxfId="5" stopIfTrue="1">
      <formula>$D$23&gt;6</formula>
    </cfRule>
  </conditionalFormatting>
  <conditionalFormatting sqref="I34">
    <cfRule type="expression" priority="44" dxfId="5" stopIfTrue="1">
      <formula>$D$33="si"</formula>
    </cfRule>
  </conditionalFormatting>
  <conditionalFormatting sqref="A30">
    <cfRule type="expression" priority="45" dxfId="2" stopIfTrue="1">
      <formula>$D$23&gt;5</formula>
    </cfRule>
  </conditionalFormatting>
  <conditionalFormatting sqref="G30:H30 D30:E30 B30 J30:K30">
    <cfRule type="expression" priority="46" dxfId="3" stopIfTrue="1">
      <formula>$D$23&gt;5</formula>
    </cfRule>
  </conditionalFormatting>
  <conditionalFormatting sqref="A31">
    <cfRule type="expression" priority="47" dxfId="2" stopIfTrue="1">
      <formula>$D$23&gt;6</formula>
    </cfRule>
  </conditionalFormatting>
  <conditionalFormatting sqref="G31:H31 D31:E31 B31 J31:K31">
    <cfRule type="expression" priority="48" dxfId="3" stopIfTrue="1">
      <formula>$D$23&gt;6</formula>
    </cfRule>
  </conditionalFormatting>
  <conditionalFormatting sqref="A26">
    <cfRule type="expression" priority="49" dxfId="2" stopIfTrue="1">
      <formula>$D$23&gt;1</formula>
    </cfRule>
  </conditionalFormatting>
  <conditionalFormatting sqref="A25">
    <cfRule type="expression" priority="50" dxfId="2" stopIfTrue="1">
      <formula>$D$23&gt;0</formula>
    </cfRule>
  </conditionalFormatting>
  <conditionalFormatting sqref="B25">
    <cfRule type="expression" priority="51" dxfId="3" stopIfTrue="1">
      <formula>$D$23&gt;0</formula>
    </cfRule>
  </conditionalFormatting>
  <conditionalFormatting sqref="B26">
    <cfRule type="expression" priority="52" dxfId="3" stopIfTrue="1">
      <formula>$D$23&gt;1</formula>
    </cfRule>
  </conditionalFormatting>
  <conditionalFormatting sqref="B27">
    <cfRule type="expression" priority="53" dxfId="3" stopIfTrue="1">
      <formula>$D$23&gt;2</formula>
    </cfRule>
  </conditionalFormatting>
  <conditionalFormatting sqref="A27">
    <cfRule type="expression" priority="54" dxfId="2" stopIfTrue="1">
      <formula>$D$23&gt;2</formula>
    </cfRule>
  </conditionalFormatting>
  <conditionalFormatting sqref="A28">
    <cfRule type="expression" priority="55" dxfId="2" stopIfTrue="1">
      <formula>$D$23&gt;3</formula>
    </cfRule>
  </conditionalFormatting>
  <conditionalFormatting sqref="B28">
    <cfRule type="expression" priority="56" dxfId="3" stopIfTrue="1">
      <formula>$D$23&gt;3</formula>
    </cfRule>
  </conditionalFormatting>
  <conditionalFormatting sqref="A29">
    <cfRule type="expression" priority="57" dxfId="2" stopIfTrue="1">
      <formula>$D$23&gt;4</formula>
    </cfRule>
  </conditionalFormatting>
  <conditionalFormatting sqref="B29">
    <cfRule type="expression" priority="58" dxfId="3" stopIfTrue="1">
      <formula>$D$23&gt;4</formula>
    </cfRule>
  </conditionalFormatting>
  <conditionalFormatting sqref="L27">
    <cfRule type="expression" priority="59" dxfId="1" stopIfTrue="1">
      <formula>$D$23&gt;2</formula>
    </cfRule>
  </conditionalFormatting>
  <conditionalFormatting sqref="L28">
    <cfRule type="expression" priority="60" dxfId="1" stopIfTrue="1">
      <formula>$D$23&gt;3</formula>
    </cfRule>
  </conditionalFormatting>
  <conditionalFormatting sqref="L29">
    <cfRule type="expression" priority="61" dxfId="1" stopIfTrue="1">
      <formula>$D$23&gt;4</formula>
    </cfRule>
  </conditionalFormatting>
  <conditionalFormatting sqref="L30">
    <cfRule type="expression" priority="62" dxfId="1" stopIfTrue="1">
      <formula>$D$23&gt;5</formula>
    </cfRule>
  </conditionalFormatting>
  <conditionalFormatting sqref="L31">
    <cfRule type="expression" priority="63" dxfId="1" stopIfTrue="1">
      <formula>$D$23&gt;6</formula>
    </cfRule>
  </conditionalFormatting>
  <conditionalFormatting sqref="L26">
    <cfRule type="expression" priority="64" dxfId="1" stopIfTrue="1">
      <formula>$D$23&gt;1</formula>
    </cfRule>
  </conditionalFormatting>
  <printOptions/>
  <pageMargins left="0.1968503937007874" right="0" top="0.984251968503937" bottom="0.5905511811023623" header="0.5118110236220472" footer="0.5118110236220472"/>
  <pageSetup blackAndWhite="1" horizontalDpi="360" verticalDpi="360" orientation="portrait" paperSize="9" scale="9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29"/>
  <dimension ref="A1:BG124"/>
  <sheetViews>
    <sheetView workbookViewId="0" topLeftCell="A1">
      <selection activeCell="E8" sqref="E8:G8"/>
    </sheetView>
  </sheetViews>
  <sheetFormatPr defaultColWidth="9.33203125" defaultRowHeight="12.75"/>
  <cols>
    <col min="1" max="1" width="15.5" style="0" customWidth="1"/>
    <col min="2" max="10" width="4.83203125" style="0" customWidth="1"/>
    <col min="11" max="11" width="11.66015625" style="0" bestFit="1" customWidth="1"/>
    <col min="12" max="13" width="11.83203125" style="0" customWidth="1"/>
    <col min="14" max="14" width="4.83203125" style="0" customWidth="1"/>
    <col min="15" max="15" width="12.83203125" style="0" customWidth="1"/>
    <col min="16" max="16" width="9.16015625" style="0" customWidth="1"/>
    <col min="17" max="17" width="15.5" style="0" hidden="1" customWidth="1"/>
    <col min="18" max="26" width="4.83203125" style="0" hidden="1" customWidth="1"/>
    <col min="27" max="27" width="11.66015625" style="0" hidden="1" customWidth="1"/>
    <col min="28" max="29" width="11.83203125" style="0" hidden="1" customWidth="1"/>
    <col min="30" max="30" width="4.83203125" style="0" hidden="1" customWidth="1"/>
    <col min="31" max="31" width="12.83203125" style="0" hidden="1" customWidth="1"/>
    <col min="32" max="32" width="11" style="0" hidden="1" customWidth="1"/>
    <col min="33" max="33" width="5.16015625" style="0" hidden="1" customWidth="1"/>
    <col min="34" max="34" width="10.5" style="0" hidden="1" customWidth="1"/>
    <col min="35" max="35" width="15.16015625" style="0" hidden="1" customWidth="1"/>
    <col min="36" max="36" width="16.83203125" style="0" hidden="1" customWidth="1"/>
    <col min="37" max="37" width="6.66015625" style="0" hidden="1" customWidth="1"/>
    <col min="38" max="38" width="12.83203125" style="0" hidden="1" customWidth="1"/>
    <col min="39" max="39" width="11.5" style="0" hidden="1" customWidth="1"/>
    <col min="40" max="45" width="0" style="0" hidden="1" customWidth="1"/>
    <col min="46" max="46" width="3.66015625" style="0" customWidth="1"/>
    <col min="49" max="49" width="13.66015625" style="0" customWidth="1"/>
  </cols>
  <sheetData>
    <row r="1" spans="1:59" ht="16.5" thickTop="1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3"/>
      <c r="Q1" s="201" t="s">
        <v>0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3"/>
      <c r="AI1" s="185" t="s">
        <v>29</v>
      </c>
      <c r="AJ1" s="185"/>
      <c r="AK1" s="185"/>
      <c r="AL1" s="185"/>
      <c r="AM1" s="135" t="s">
        <v>68</v>
      </c>
      <c r="AT1" s="77"/>
      <c r="AU1" s="247" t="s">
        <v>84</v>
      </c>
      <c r="AV1" s="248"/>
      <c r="AW1" s="249"/>
      <c r="AX1" s="77"/>
      <c r="AY1" s="77"/>
      <c r="AZ1" s="77"/>
      <c r="BA1" s="77"/>
      <c r="BB1" s="77"/>
      <c r="BC1" s="77"/>
      <c r="BD1" s="77"/>
      <c r="BE1" s="77"/>
      <c r="BF1" s="77"/>
      <c r="BG1" s="77"/>
    </row>
    <row r="2" spans="1:59" ht="15.75">
      <c r="A2" s="350" t="str">
        <f>+Gen!A2</f>
        <v>TRIBUNALE DI TERMINI IMERESE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2"/>
      <c r="Q2" s="204" t="s">
        <v>1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6"/>
      <c r="AI2" s="5" t="s">
        <v>30</v>
      </c>
      <c r="AJ2" s="5" t="s">
        <v>31</v>
      </c>
      <c r="AK2" s="6" t="s">
        <v>18</v>
      </c>
      <c r="AL2" s="5" t="s">
        <v>37</v>
      </c>
      <c r="AN2" s="134"/>
      <c r="AT2" s="77"/>
      <c r="AU2" s="250"/>
      <c r="AV2" s="251"/>
      <c r="AW2" s="252"/>
      <c r="AX2" s="77"/>
      <c r="AY2" s="77"/>
      <c r="AZ2" s="77"/>
      <c r="BA2" s="77"/>
      <c r="BB2" s="77"/>
      <c r="BC2" s="77"/>
      <c r="BD2" s="77"/>
      <c r="BE2" s="77"/>
      <c r="BF2" s="77"/>
      <c r="BG2" s="77"/>
    </row>
    <row r="3" spans="1:59" ht="15.75">
      <c r="A3" s="207" t="s">
        <v>110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9"/>
      <c r="Q3" s="207" t="s">
        <v>85</v>
      </c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9"/>
      <c r="AI3" s="7">
        <v>1</v>
      </c>
      <c r="AJ3" s="7">
        <f>+Aliquote!C6</f>
        <v>15000</v>
      </c>
      <c r="AK3" s="8">
        <f>+Aliquote!D6</f>
        <v>0.23</v>
      </c>
      <c r="AL3" s="9"/>
      <c r="AT3" s="77"/>
      <c r="AU3" s="268"/>
      <c r="AV3" s="269"/>
      <c r="AW3" s="270"/>
      <c r="AX3" s="77"/>
      <c r="AY3" s="77"/>
      <c r="AZ3" s="77"/>
      <c r="BA3" s="77"/>
      <c r="BB3" s="77"/>
      <c r="BC3" s="77"/>
      <c r="BD3" s="77"/>
      <c r="BE3" s="77"/>
      <c r="BF3" s="77"/>
      <c r="BG3" s="77"/>
    </row>
    <row r="4" spans="1:59" ht="12.75" customHeight="1">
      <c r="A4" s="150" t="s">
        <v>138</v>
      </c>
      <c r="B4" s="163" t="str">
        <f>IF(Gen!B4&gt;0,Gen!B4,Vuota1)</f>
        <v>        </v>
      </c>
      <c r="C4" s="154"/>
      <c r="D4" s="154"/>
      <c r="E4" s="154"/>
      <c r="F4" s="154"/>
      <c r="G4" s="164"/>
      <c r="H4" s="58"/>
      <c r="I4" s="58"/>
      <c r="J4" s="345" t="s">
        <v>126</v>
      </c>
      <c r="K4" s="346"/>
      <c r="L4" s="149">
        <f>IF(Gen!L4&gt;0,Gen!L4,Vuota1)</f>
        <v>2007</v>
      </c>
      <c r="M4" s="20"/>
      <c r="N4" s="58"/>
      <c r="O4" s="58"/>
      <c r="P4" s="33"/>
      <c r="Q4" s="20"/>
      <c r="R4" s="58"/>
      <c r="S4" s="58"/>
      <c r="T4" s="58"/>
      <c r="U4" s="58"/>
      <c r="V4" s="58"/>
      <c r="W4" s="58"/>
      <c r="X4" s="58"/>
      <c r="Y4" s="58"/>
      <c r="Z4" s="213" t="s">
        <v>2</v>
      </c>
      <c r="AA4" s="213"/>
      <c r="AB4" s="2">
        <v>2007</v>
      </c>
      <c r="AC4" s="20"/>
      <c r="AD4" s="58"/>
      <c r="AE4" s="58"/>
      <c r="AF4" s="33"/>
      <c r="AI4" s="7">
        <f>+AJ3+0.01</f>
        <v>15000.01</v>
      </c>
      <c r="AJ4" s="7">
        <f>+Aliquote!C7</f>
        <v>28000</v>
      </c>
      <c r="AK4" s="8">
        <f>+Aliquote!D7</f>
        <v>0.27</v>
      </c>
      <c r="AL4" s="7">
        <f>ROUND(AI4*AK3,2)</f>
        <v>3450</v>
      </c>
      <c r="AT4" s="77"/>
      <c r="AU4" s="262" t="s">
        <v>81</v>
      </c>
      <c r="AV4" s="263"/>
      <c r="AW4" s="264"/>
      <c r="AX4" s="77"/>
      <c r="AY4" s="77"/>
      <c r="AZ4" s="77"/>
      <c r="BA4" s="77"/>
      <c r="BB4" s="77"/>
      <c r="BC4" s="77"/>
      <c r="BD4" s="77"/>
      <c r="BE4" s="77"/>
      <c r="BF4" s="77"/>
      <c r="BG4" s="77"/>
    </row>
    <row r="5" spans="1:59" ht="16.5" thickBot="1">
      <c r="A5" s="59" t="s">
        <v>3</v>
      </c>
      <c r="B5" s="60"/>
      <c r="C5" s="52" t="str">
        <f>IF(Gen!C5&gt;0,Gen!C5,Vuota1)</f>
        <v>C1</v>
      </c>
      <c r="D5" s="347" t="str">
        <f>IF(Gen!D5&gt;0,Gen!D5,Vuota1)</f>
        <v>        </v>
      </c>
      <c r="E5" s="348" t="e">
        <f>IF(#REF!&gt;0,#REF!,Vuota1)</f>
        <v>#REF!</v>
      </c>
      <c r="F5" s="348" t="e">
        <f>IF(#REF!&gt;0,#REF!,Vuota1)</f>
        <v>#REF!</v>
      </c>
      <c r="G5" s="348" t="e">
        <f>IF(#REF!&gt;0,#REF!,Vuota1)</f>
        <v>#REF!</v>
      </c>
      <c r="H5" s="348" t="e">
        <f>IF(#REF!&gt;0,#REF!,Vuota1)</f>
        <v>#REF!</v>
      </c>
      <c r="I5" s="348" t="e">
        <f>IF(#REF!&gt;0,#REF!,Vuota1)</f>
        <v>#REF!</v>
      </c>
      <c r="J5" s="348" t="str">
        <f>IF(Gen!J5&gt;0,Gen!J5,Vuota1)</f>
        <v>        </v>
      </c>
      <c r="K5" s="348" t="e">
        <f>IF(#REF!&gt;0,#REF!,Vuota1)</f>
        <v>#REF!</v>
      </c>
      <c r="L5" s="349" t="e">
        <f>IF(#REF!&gt;0,#REF!,Vuota1)</f>
        <v>#REF!</v>
      </c>
      <c r="M5" s="61" t="s">
        <v>5</v>
      </c>
      <c r="N5" s="163" t="str">
        <f>IF(Gen!N5&gt;0,Gen!N5,Vuota1)</f>
        <v>        </v>
      </c>
      <c r="O5" s="154" t="e">
        <f>IF(#REF!&gt;0,#REF!,Vuota1)</f>
        <v>#REF!</v>
      </c>
      <c r="P5" s="164" t="e">
        <f>IF(#REF!&gt;0,#REF!,Vuota1)</f>
        <v>#REF!</v>
      </c>
      <c r="Q5" s="59" t="s">
        <v>3</v>
      </c>
      <c r="R5" s="60"/>
      <c r="S5" s="2" t="s">
        <v>4</v>
      </c>
      <c r="T5" s="211"/>
      <c r="U5" s="211"/>
      <c r="V5" s="211"/>
      <c r="W5" s="211"/>
      <c r="X5" s="211"/>
      <c r="Y5" s="211"/>
      <c r="Z5" s="211"/>
      <c r="AA5" s="211"/>
      <c r="AB5" s="313"/>
      <c r="AC5" s="61" t="s">
        <v>5</v>
      </c>
      <c r="AD5" s="214"/>
      <c r="AE5" s="215"/>
      <c r="AF5" s="216"/>
      <c r="AH5" s="21"/>
      <c r="AI5" s="7">
        <f>+AJ4+0.01</f>
        <v>28000.01</v>
      </c>
      <c r="AJ5" s="7">
        <f>+Aliquote!C8</f>
        <v>55000</v>
      </c>
      <c r="AK5" s="8">
        <f>+Aliquote!D8</f>
        <v>0.38</v>
      </c>
      <c r="AL5" s="7">
        <f>ROUND((AI5-AI4)*AK4,2)+AL4</f>
        <v>6960</v>
      </c>
      <c r="AT5" s="77"/>
      <c r="AU5" s="265" t="s">
        <v>82</v>
      </c>
      <c r="AV5" s="266"/>
      <c r="AW5" s="267"/>
      <c r="AX5" s="77"/>
      <c r="AY5" s="77"/>
      <c r="AZ5" s="77"/>
      <c r="BA5" s="77"/>
      <c r="BB5" s="77"/>
      <c r="BC5" s="77"/>
      <c r="BD5" s="77"/>
      <c r="BE5" s="77"/>
      <c r="BF5" s="77"/>
      <c r="BG5" s="77"/>
    </row>
    <row r="6" spans="1:59" ht="12.75" customHeight="1" thickTop="1">
      <c r="A6" s="271" t="s">
        <v>6</v>
      </c>
      <c r="B6" s="272"/>
      <c r="C6" s="163" t="str">
        <f>IF(Gen!C6&gt;0,Gen!C6,Vuota1)</f>
        <v>        </v>
      </c>
      <c r="D6" s="213" t="e">
        <f>IF(#REF!&gt;0,#REF!,Vuota1)</f>
        <v>#REF!</v>
      </c>
      <c r="E6" s="213" t="e">
        <f>IF(#REF!&gt;0,#REF!,Vuota1)</f>
        <v>#REF!</v>
      </c>
      <c r="F6" s="213" t="e">
        <f>IF(#REF!&gt;0,#REF!,Vuota1)</f>
        <v>#REF!</v>
      </c>
      <c r="G6" s="359" t="e">
        <f>IF(#REF!&gt;0,#REF!,Vuota1)</f>
        <v>#REF!</v>
      </c>
      <c r="H6" s="60" t="s">
        <v>7</v>
      </c>
      <c r="I6" s="353" t="str">
        <f>IF(Gen!I6&gt;0,Gen!I6,Vuota1)</f>
        <v>        </v>
      </c>
      <c r="J6" s="354" t="e">
        <f>IF(#REF!&gt;0,#REF!,Vuota1)</f>
        <v>#REF!</v>
      </c>
      <c r="K6" s="355" t="e">
        <f>IF(#REF!&gt;0,#REF!,Vuota1)</f>
        <v>#REF!</v>
      </c>
      <c r="L6" s="48" t="s">
        <v>90</v>
      </c>
      <c r="M6" s="356" t="str">
        <f>IF(Gen!M6&gt;0,Gen!M6,Vuota1)</f>
        <v>        </v>
      </c>
      <c r="N6" s="357" t="e">
        <f>IF(#REF!&gt;0,#REF!,Vuota1)</f>
        <v>#REF!</v>
      </c>
      <c r="O6" s="357" t="e">
        <f>IF(#REF!&gt;0,#REF!,Vuota1)</f>
        <v>#REF!</v>
      </c>
      <c r="P6" s="358" t="e">
        <f>IF(#REF!&gt;0,#REF!,Vuota1)</f>
        <v>#REF!</v>
      </c>
      <c r="Q6" s="317"/>
      <c r="R6" s="318"/>
      <c r="S6" s="318"/>
      <c r="T6" s="302" t="s">
        <v>6</v>
      </c>
      <c r="U6" s="302"/>
      <c r="V6" s="214"/>
      <c r="W6" s="215"/>
      <c r="X6" s="215"/>
      <c r="Y6" s="215"/>
      <c r="Z6" s="216"/>
      <c r="AA6" s="60" t="s">
        <v>7</v>
      </c>
      <c r="AB6" s="300"/>
      <c r="AC6" s="301"/>
      <c r="AD6" s="20"/>
      <c r="AE6" s="20"/>
      <c r="AF6" s="62"/>
      <c r="AH6" s="21"/>
      <c r="AI6" s="7">
        <f>+AJ5+0.01</f>
        <v>55000.01</v>
      </c>
      <c r="AJ6" s="7">
        <f>+Aliquote!C9</f>
        <v>75000</v>
      </c>
      <c r="AK6" s="8">
        <f>+Aliquote!D9</f>
        <v>0.41</v>
      </c>
      <c r="AL6" s="7">
        <f>ROUND((AI6-AI5)*AK5,2)+AL5</f>
        <v>17220</v>
      </c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</row>
    <row r="7" spans="1:59" ht="12.75" customHeight="1">
      <c r="A7" s="239" t="s">
        <v>8</v>
      </c>
      <c r="B7" s="240"/>
      <c r="C7" s="240"/>
      <c r="D7" s="240"/>
      <c r="E7" s="240"/>
      <c r="F7" s="240"/>
      <c r="G7" s="240"/>
      <c r="H7" s="158" t="s">
        <v>9</v>
      </c>
      <c r="I7" s="158"/>
      <c r="J7" s="158"/>
      <c r="K7" s="158"/>
      <c r="L7" s="158"/>
      <c r="M7" s="20"/>
      <c r="N7" s="20"/>
      <c r="O7" s="20"/>
      <c r="P7" s="62"/>
      <c r="Q7" s="239" t="s">
        <v>8</v>
      </c>
      <c r="R7" s="240"/>
      <c r="S7" s="240"/>
      <c r="T7" s="240"/>
      <c r="U7" s="240"/>
      <c r="V7" s="240"/>
      <c r="W7" s="240"/>
      <c r="X7" s="158" t="s">
        <v>9</v>
      </c>
      <c r="Y7" s="158"/>
      <c r="Z7" s="158"/>
      <c r="AA7" s="158"/>
      <c r="AB7" s="158"/>
      <c r="AC7" s="20"/>
      <c r="AD7" s="20"/>
      <c r="AE7" s="20"/>
      <c r="AF7" s="62"/>
      <c r="AH7" s="21"/>
      <c r="AI7" s="7">
        <f>+AJ6+0.01</f>
        <v>75000.01</v>
      </c>
      <c r="AJ7" s="7">
        <v>1000000</v>
      </c>
      <c r="AK7" s="8">
        <f>+Aliquote!D10</f>
        <v>0.43</v>
      </c>
      <c r="AL7" s="7">
        <f>ROUND((AI7-AI6)*AK6,2)+AL6</f>
        <v>25420</v>
      </c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</row>
    <row r="8" spans="1:59" ht="12.75">
      <c r="A8" s="27" t="s">
        <v>78</v>
      </c>
      <c r="B8" s="29"/>
      <c r="C8" s="29"/>
      <c r="D8" s="23"/>
      <c r="E8" s="195"/>
      <c r="F8" s="196"/>
      <c r="G8" s="197"/>
      <c r="H8" s="273" t="s">
        <v>10</v>
      </c>
      <c r="I8" s="274"/>
      <c r="J8" s="274"/>
      <c r="K8" s="275"/>
      <c r="L8" s="1"/>
      <c r="M8" s="20"/>
      <c r="N8" s="20"/>
      <c r="O8" s="20"/>
      <c r="P8" s="62"/>
      <c r="Q8" s="27" t="s">
        <v>78</v>
      </c>
      <c r="R8" s="29"/>
      <c r="S8" s="29"/>
      <c r="T8" s="23"/>
      <c r="U8" s="195">
        <f aca="true" t="shared" si="0" ref="U8:U15">ROUND(E8*13,5)</f>
        <v>0</v>
      </c>
      <c r="V8" s="196"/>
      <c r="W8" s="197"/>
      <c r="X8" s="273" t="s">
        <v>10</v>
      </c>
      <c r="Y8" s="274"/>
      <c r="Z8" s="274"/>
      <c r="AA8" s="275"/>
      <c r="AB8" s="1">
        <f aca="true" t="shared" si="1" ref="AB8:AB17">ROUND(L8*13,5)</f>
        <v>0</v>
      </c>
      <c r="AC8" s="20"/>
      <c r="AD8" s="20"/>
      <c r="AE8" s="20"/>
      <c r="AF8" s="62"/>
      <c r="AH8" s="21"/>
      <c r="AI8" s="7">
        <f>+AJ7+0.01</f>
        <v>1000000.01</v>
      </c>
      <c r="AJ8" s="10">
        <v>2000000</v>
      </c>
      <c r="AK8" s="11">
        <f>+AK7</f>
        <v>0.43</v>
      </c>
      <c r="AL8" s="10">
        <f>ROUND((AI8-AI7)*AK7,2)+AL7</f>
        <v>423170</v>
      </c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</row>
    <row r="9" spans="1:59" ht="12.75">
      <c r="A9" s="27" t="s">
        <v>11</v>
      </c>
      <c r="B9" s="29"/>
      <c r="C9" s="29"/>
      <c r="D9" s="23"/>
      <c r="E9" s="195"/>
      <c r="F9" s="196"/>
      <c r="G9" s="197"/>
      <c r="H9" s="198" t="s">
        <v>111</v>
      </c>
      <c r="I9" s="199"/>
      <c r="J9" s="199"/>
      <c r="K9" s="200"/>
      <c r="L9" s="1"/>
      <c r="M9" s="20"/>
      <c r="N9" s="20"/>
      <c r="O9" s="20"/>
      <c r="P9" s="62"/>
      <c r="Q9" s="27" t="s">
        <v>11</v>
      </c>
      <c r="R9" s="29"/>
      <c r="S9" s="29"/>
      <c r="T9" s="23"/>
      <c r="U9" s="195">
        <f t="shared" si="0"/>
        <v>0</v>
      </c>
      <c r="V9" s="196"/>
      <c r="W9" s="197"/>
      <c r="X9" s="198" t="s">
        <v>111</v>
      </c>
      <c r="Y9" s="199"/>
      <c r="Z9" s="199"/>
      <c r="AA9" s="200"/>
      <c r="AB9" s="1">
        <f t="shared" si="1"/>
        <v>0</v>
      </c>
      <c r="AC9" s="20"/>
      <c r="AD9" s="20"/>
      <c r="AE9" s="25" t="s">
        <v>117</v>
      </c>
      <c r="AF9" s="62"/>
      <c r="AH9" s="22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</row>
    <row r="10" spans="1:59" ht="12.75">
      <c r="A10" s="27" t="s">
        <v>12</v>
      </c>
      <c r="B10" s="29"/>
      <c r="C10" s="29"/>
      <c r="D10" s="23"/>
      <c r="E10" s="195"/>
      <c r="F10" s="196"/>
      <c r="G10" s="197"/>
      <c r="H10" s="198" t="s">
        <v>112</v>
      </c>
      <c r="I10" s="199"/>
      <c r="J10" s="199"/>
      <c r="K10" s="200"/>
      <c r="L10" s="1"/>
      <c r="M10" s="20"/>
      <c r="N10" s="20"/>
      <c r="O10" s="20"/>
      <c r="P10" s="62"/>
      <c r="Q10" s="27" t="s">
        <v>12</v>
      </c>
      <c r="R10" s="29"/>
      <c r="S10" s="29"/>
      <c r="T10" s="23"/>
      <c r="U10" s="195">
        <f t="shared" si="0"/>
        <v>0</v>
      </c>
      <c r="V10" s="196"/>
      <c r="W10" s="197"/>
      <c r="X10" s="198" t="s">
        <v>112</v>
      </c>
      <c r="Y10" s="199"/>
      <c r="Z10" s="199"/>
      <c r="AA10" s="200"/>
      <c r="AB10" s="1">
        <f t="shared" si="1"/>
        <v>0</v>
      </c>
      <c r="AC10" s="20"/>
      <c r="AD10" s="20"/>
      <c r="AE10" s="145">
        <f>+Lordo-U12</f>
        <v>0</v>
      </c>
      <c r="AF10" s="62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</row>
    <row r="11" spans="1:59" ht="12.75">
      <c r="A11" s="27" t="s">
        <v>14</v>
      </c>
      <c r="B11" s="29"/>
      <c r="C11" s="29"/>
      <c r="D11" s="29"/>
      <c r="E11" s="195"/>
      <c r="F11" s="196"/>
      <c r="G11" s="197"/>
      <c r="H11" s="198" t="s">
        <v>113</v>
      </c>
      <c r="I11" s="199"/>
      <c r="J11" s="199"/>
      <c r="K11" s="200"/>
      <c r="L11" s="143">
        <f>ROUND((E10+E11)*(Aliquote!H9),2)</f>
        <v>0</v>
      </c>
      <c r="M11" s="20"/>
      <c r="N11" s="20"/>
      <c r="O11" s="20"/>
      <c r="P11" s="62"/>
      <c r="Q11" s="27" t="s">
        <v>14</v>
      </c>
      <c r="R11" s="29"/>
      <c r="S11" s="29"/>
      <c r="T11" s="29"/>
      <c r="U11" s="195">
        <f t="shared" si="0"/>
        <v>0</v>
      </c>
      <c r="V11" s="196"/>
      <c r="W11" s="197"/>
      <c r="X11" s="198" t="s">
        <v>113</v>
      </c>
      <c r="Y11" s="199"/>
      <c r="Z11" s="199"/>
      <c r="AA11" s="200"/>
      <c r="AB11" s="143">
        <f t="shared" si="1"/>
        <v>0</v>
      </c>
      <c r="AC11" s="20"/>
      <c r="AD11" s="20"/>
      <c r="AE11" s="20"/>
      <c r="AF11" s="62"/>
      <c r="AH11" s="85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</row>
    <row r="12" spans="1:59" ht="12.75">
      <c r="A12" s="27"/>
      <c r="B12" s="29"/>
      <c r="C12" s="29"/>
      <c r="D12" s="23"/>
      <c r="E12" s="404"/>
      <c r="F12" s="405"/>
      <c r="G12" s="406"/>
      <c r="H12" s="198" t="s">
        <v>114</v>
      </c>
      <c r="I12" s="199"/>
      <c r="J12" s="199"/>
      <c r="K12" s="200"/>
      <c r="L12" s="144">
        <f>ROUND((E10+E11)*(Aliquote!I9),2)</f>
        <v>0</v>
      </c>
      <c r="M12" s="20"/>
      <c r="N12" s="20"/>
      <c r="O12" s="20"/>
      <c r="P12" s="62"/>
      <c r="Q12" s="27" t="s">
        <v>16</v>
      </c>
      <c r="R12" s="29"/>
      <c r="S12" s="29"/>
      <c r="T12" s="23"/>
      <c r="U12" s="195">
        <f t="shared" si="0"/>
        <v>0</v>
      </c>
      <c r="V12" s="196"/>
      <c r="W12" s="197"/>
      <c r="X12" s="198" t="s">
        <v>114</v>
      </c>
      <c r="Y12" s="199"/>
      <c r="Z12" s="199"/>
      <c r="AA12" s="200"/>
      <c r="AB12" s="143">
        <f t="shared" si="1"/>
        <v>0</v>
      </c>
      <c r="AC12" s="91"/>
      <c r="AD12" s="20"/>
      <c r="AE12" s="20"/>
      <c r="AF12" s="62"/>
      <c r="AH12" s="85"/>
      <c r="AI12" s="186" t="s">
        <v>32</v>
      </c>
      <c r="AJ12" s="186"/>
      <c r="AK12" s="186"/>
      <c r="AL12" s="186"/>
      <c r="AM12" s="186"/>
      <c r="AN12" t="s">
        <v>44</v>
      </c>
      <c r="AO12" t="s">
        <v>43</v>
      </c>
      <c r="AT12" s="77"/>
      <c r="AU12" s="78"/>
      <c r="AV12" s="78"/>
      <c r="AW12" s="78"/>
      <c r="AX12" s="77"/>
      <c r="AY12" s="77"/>
      <c r="AZ12" s="77"/>
      <c r="BA12" s="77"/>
      <c r="BB12" s="77"/>
      <c r="BC12" s="77"/>
      <c r="BD12" s="77"/>
      <c r="BE12" s="77"/>
      <c r="BF12" s="77"/>
      <c r="BG12" s="77"/>
    </row>
    <row r="13" spans="1:59" ht="12.75">
      <c r="A13" s="27" t="s">
        <v>17</v>
      </c>
      <c r="B13" s="29"/>
      <c r="C13" s="29"/>
      <c r="D13" s="23"/>
      <c r="E13" s="195"/>
      <c r="F13" s="196"/>
      <c r="G13" s="197"/>
      <c r="H13" s="198"/>
      <c r="I13" s="199"/>
      <c r="J13" s="199"/>
      <c r="K13" s="200"/>
      <c r="L13" s="143"/>
      <c r="M13" s="20"/>
      <c r="N13" s="20"/>
      <c r="O13" s="20"/>
      <c r="P13" s="62"/>
      <c r="Q13" s="27" t="s">
        <v>17</v>
      </c>
      <c r="R13" s="29"/>
      <c r="S13" s="29"/>
      <c r="T13" s="23"/>
      <c r="U13" s="195">
        <f t="shared" si="0"/>
        <v>0</v>
      </c>
      <c r="V13" s="196"/>
      <c r="W13" s="197"/>
      <c r="X13" s="198" t="s">
        <v>115</v>
      </c>
      <c r="Y13" s="199"/>
      <c r="Z13" s="199"/>
      <c r="AA13" s="200"/>
      <c r="AB13" s="143">
        <f t="shared" si="1"/>
        <v>0</v>
      </c>
      <c r="AC13" s="20"/>
      <c r="AD13" s="20"/>
      <c r="AE13" s="91"/>
      <c r="AF13" s="62"/>
      <c r="AH13" s="85"/>
      <c r="AI13" s="4" t="s">
        <v>33</v>
      </c>
      <c r="AJ13" s="107">
        <v>80000</v>
      </c>
      <c r="AK13" s="4"/>
      <c r="AL13" s="107">
        <v>800</v>
      </c>
      <c r="AM13" s="107">
        <v>690</v>
      </c>
      <c r="AN13" s="87">
        <v>110</v>
      </c>
      <c r="AO13" s="87">
        <f>ROUND(Redd_Detraz/AJ19,4)</f>
        <v>0</v>
      </c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</row>
    <row r="14" spans="1:59" ht="12.75">
      <c r="A14" s="192" t="s">
        <v>108</v>
      </c>
      <c r="B14" s="193"/>
      <c r="C14" s="193"/>
      <c r="D14" s="194"/>
      <c r="E14" s="195"/>
      <c r="F14" s="196"/>
      <c r="G14" s="197"/>
      <c r="H14" s="198" t="s">
        <v>116</v>
      </c>
      <c r="I14" s="199"/>
      <c r="J14" s="199"/>
      <c r="K14" s="200"/>
      <c r="L14" s="143">
        <f>ROUND(E13*80%*(Aliquote!$G$9)+E13*(Aliquote!$H$9+Aliquote!$I$9),5)</f>
        <v>0</v>
      </c>
      <c r="M14" s="20"/>
      <c r="N14" s="20"/>
      <c r="O14" s="20"/>
      <c r="P14" s="62"/>
      <c r="Q14" s="26" t="s">
        <v>13</v>
      </c>
      <c r="R14" s="30"/>
      <c r="S14" s="30"/>
      <c r="T14" s="24"/>
      <c r="U14" s="195">
        <f t="shared" si="0"/>
        <v>0</v>
      </c>
      <c r="V14" s="196"/>
      <c r="W14" s="197"/>
      <c r="X14" s="198" t="s">
        <v>116</v>
      </c>
      <c r="Y14" s="199"/>
      <c r="Z14" s="199"/>
      <c r="AA14" s="200"/>
      <c r="AB14" s="143">
        <f t="shared" si="1"/>
        <v>0</v>
      </c>
      <c r="AC14" s="20"/>
      <c r="AD14" s="20"/>
      <c r="AE14" s="20"/>
      <c r="AF14" s="62"/>
      <c r="AH14" s="85"/>
      <c r="AI14" s="4" t="s">
        <v>34</v>
      </c>
      <c r="AJ14" s="107">
        <v>95000</v>
      </c>
      <c r="AK14" s="4"/>
      <c r="AL14" s="107">
        <v>800</v>
      </c>
      <c r="AO14" s="77">
        <f>ROUND((Coniuge-Redd_Detraz)/AJ38,4)</f>
        <v>2</v>
      </c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</row>
    <row r="15" spans="1:59" ht="12.75">
      <c r="A15" s="192" t="s">
        <v>109</v>
      </c>
      <c r="B15" s="193"/>
      <c r="C15" s="193"/>
      <c r="D15" s="194"/>
      <c r="E15" s="195"/>
      <c r="F15" s="196"/>
      <c r="G15" s="197"/>
      <c r="H15" s="192" t="s">
        <v>149</v>
      </c>
      <c r="I15" s="193"/>
      <c r="J15" s="193"/>
      <c r="K15" s="194"/>
      <c r="L15" s="143">
        <f>ROUND(E14*80%*(Aliquote!$G$9)+E14*(Aliquote!$H$9+Aliquote!$I$9),5)</f>
        <v>0</v>
      </c>
      <c r="M15" s="20"/>
      <c r="N15" s="20"/>
      <c r="O15" s="20"/>
      <c r="P15" s="62"/>
      <c r="Q15" s="26" t="s">
        <v>13</v>
      </c>
      <c r="R15" s="30"/>
      <c r="S15" s="30"/>
      <c r="T15" s="24"/>
      <c r="U15" s="195">
        <f t="shared" si="0"/>
        <v>0</v>
      </c>
      <c r="V15" s="196"/>
      <c r="W15" s="197"/>
      <c r="X15" s="192" t="s">
        <v>13</v>
      </c>
      <c r="Y15" s="193"/>
      <c r="Z15" s="193"/>
      <c r="AA15" s="194"/>
      <c r="AB15" s="143">
        <f t="shared" si="1"/>
        <v>0</v>
      </c>
      <c r="AC15" s="20"/>
      <c r="AD15" s="20"/>
      <c r="AE15" s="25" t="s">
        <v>93</v>
      </c>
      <c r="AF15" s="62"/>
      <c r="AH15" s="85"/>
      <c r="AI15" s="4" t="s">
        <v>35</v>
      </c>
      <c r="AJ15" s="107">
        <v>55000</v>
      </c>
      <c r="AK15" s="4"/>
      <c r="AL15" s="107">
        <v>1338</v>
      </c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</row>
    <row r="16" spans="1:59" ht="12.75">
      <c r="A16" s="192" t="s">
        <v>148</v>
      </c>
      <c r="B16" s="193"/>
      <c r="C16" s="193"/>
      <c r="D16" s="194"/>
      <c r="E16" s="195"/>
      <c r="F16" s="196"/>
      <c r="G16" s="197"/>
      <c r="H16" s="192" t="s">
        <v>150</v>
      </c>
      <c r="I16" s="193"/>
      <c r="J16" s="193"/>
      <c r="K16" s="194"/>
      <c r="L16" s="144">
        <f>ROUND(E15*(Aliquote!$H$9+Aliquote!$I$9),5)</f>
        <v>0</v>
      </c>
      <c r="M16" s="20"/>
      <c r="N16" s="20"/>
      <c r="O16" s="20"/>
      <c r="P16" s="62"/>
      <c r="Q16" s="192" t="s">
        <v>57</v>
      </c>
      <c r="R16" s="193"/>
      <c r="S16" s="193"/>
      <c r="T16" s="194"/>
      <c r="U16" s="195"/>
      <c r="V16" s="196"/>
      <c r="W16" s="197"/>
      <c r="X16" s="192" t="s">
        <v>13</v>
      </c>
      <c r="Y16" s="193"/>
      <c r="Z16" s="193"/>
      <c r="AA16" s="194"/>
      <c r="AB16" s="143">
        <f t="shared" si="1"/>
        <v>0</v>
      </c>
      <c r="AC16" s="298"/>
      <c r="AD16" s="299"/>
      <c r="AE16" s="146">
        <f>IF(O46&gt;E12,ROUND((O46-E12)*12,2),0)</f>
        <v>0</v>
      </c>
      <c r="AF16" s="62"/>
      <c r="AH16" s="85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</row>
    <row r="17" spans="1:59" ht="12.75">
      <c r="A17" s="163" t="s">
        <v>15</v>
      </c>
      <c r="B17" s="154"/>
      <c r="C17" s="154"/>
      <c r="D17" s="164"/>
      <c r="E17" s="175">
        <f>SUM(E8:G16)</f>
        <v>0</v>
      </c>
      <c r="F17" s="219"/>
      <c r="G17" s="176"/>
      <c r="H17" s="192" t="s">
        <v>148</v>
      </c>
      <c r="I17" s="193"/>
      <c r="J17" s="193"/>
      <c r="K17" s="194"/>
      <c r="L17" s="189"/>
      <c r="M17" s="20"/>
      <c r="N17" s="20"/>
      <c r="O17" s="20"/>
      <c r="P17" s="62"/>
      <c r="Q17" s="31" t="s">
        <v>15</v>
      </c>
      <c r="R17" s="28"/>
      <c r="S17" s="28"/>
      <c r="T17" s="32"/>
      <c r="U17" s="175">
        <f>SUM(U8:W16)</f>
        <v>0</v>
      </c>
      <c r="V17" s="219"/>
      <c r="W17" s="176"/>
      <c r="X17" s="192" t="s">
        <v>57</v>
      </c>
      <c r="Y17" s="193"/>
      <c r="Z17" s="193"/>
      <c r="AA17" s="194"/>
      <c r="AB17" s="143">
        <f t="shared" si="1"/>
        <v>0</v>
      </c>
      <c r="AC17" s="160"/>
      <c r="AD17" s="160"/>
      <c r="AE17" s="147"/>
      <c r="AF17" s="62"/>
      <c r="AH17" s="85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</row>
    <row r="18" spans="1:59" ht="13.5" thickBot="1">
      <c r="A18" s="57"/>
      <c r="B18" s="20"/>
      <c r="C18" s="20"/>
      <c r="D18" s="20"/>
      <c r="E18" s="20"/>
      <c r="F18" s="20"/>
      <c r="G18" s="20"/>
      <c r="H18" s="163" t="s">
        <v>15</v>
      </c>
      <c r="I18" s="154"/>
      <c r="J18" s="154"/>
      <c r="K18" s="164"/>
      <c r="L18" s="3">
        <f>SUM(L8:L17)</f>
        <v>0</v>
      </c>
      <c r="M18" s="20"/>
      <c r="N18" s="20"/>
      <c r="O18" s="20"/>
      <c r="P18" s="62"/>
      <c r="Q18" s="57"/>
      <c r="R18" s="20"/>
      <c r="S18" s="20"/>
      <c r="T18" s="20"/>
      <c r="U18" s="20"/>
      <c r="V18" s="20"/>
      <c r="W18" s="20"/>
      <c r="X18" s="31" t="s">
        <v>15</v>
      </c>
      <c r="Y18" s="28"/>
      <c r="Z18" s="28"/>
      <c r="AA18" s="32"/>
      <c r="AB18" s="3">
        <f>SUM(AB8:AB17)</f>
        <v>0</v>
      </c>
      <c r="AC18" s="136"/>
      <c r="AD18" s="136" t="s">
        <v>139</v>
      </c>
      <c r="AE18" s="147"/>
      <c r="AF18" s="151">
        <f>ROUND(E12*12,5)</f>
        <v>0</v>
      </c>
      <c r="AH18" s="85"/>
      <c r="AI18" s="4" t="s">
        <v>38</v>
      </c>
      <c r="AJ18" s="110" t="s">
        <v>39</v>
      </c>
      <c r="AK18" s="77"/>
      <c r="AL18" s="111" t="s">
        <v>45</v>
      </c>
      <c r="AM18" s="111" t="s">
        <v>40</v>
      </c>
      <c r="AO18">
        <f>IF(AP18&gt;0,1,0)</f>
        <v>0</v>
      </c>
      <c r="AP18" s="87"/>
      <c r="AQ18" s="87">
        <v>700</v>
      </c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</row>
    <row r="19" spans="1:59" ht="13.5" customHeight="1" hidden="1" thickBot="1">
      <c r="A19" s="79"/>
      <c r="B19" s="25"/>
      <c r="C19" s="25"/>
      <c r="D19" s="25"/>
      <c r="E19" s="25"/>
      <c r="F19" s="25"/>
      <c r="G19" s="25"/>
      <c r="H19" s="20"/>
      <c r="I19" s="20"/>
      <c r="J19" s="20"/>
      <c r="K19" s="20"/>
      <c r="L19" s="20"/>
      <c r="M19" s="20"/>
      <c r="N19" s="20"/>
      <c r="O19" s="20"/>
      <c r="P19" s="62"/>
      <c r="Q19" s="79"/>
      <c r="R19" s="25"/>
      <c r="S19" s="25"/>
      <c r="T19" s="25"/>
      <c r="U19" s="25"/>
      <c r="V19" s="25"/>
      <c r="W19" s="25"/>
      <c r="X19" s="20"/>
      <c r="Y19" s="20"/>
      <c r="Z19" s="20"/>
      <c r="AA19" s="20"/>
      <c r="AB19" s="20"/>
      <c r="AC19" s="136"/>
      <c r="AD19" s="20"/>
      <c r="AE19" s="148"/>
      <c r="AF19" s="62"/>
      <c r="AI19" s="315" t="s">
        <v>33</v>
      </c>
      <c r="AJ19" s="316">
        <v>15000</v>
      </c>
      <c r="AK19" s="77"/>
      <c r="AL19" s="118">
        <v>0</v>
      </c>
      <c r="AM19" s="127">
        <v>0</v>
      </c>
      <c r="AO19">
        <f>IF(AP19&gt;0,1,0)</f>
        <v>0</v>
      </c>
      <c r="AP19" s="87"/>
      <c r="AQ19" s="87">
        <v>500</v>
      </c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</row>
    <row r="20" spans="1:59" ht="15.75">
      <c r="A20" s="241" t="s">
        <v>66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3"/>
      <c r="Q20" s="241" t="s">
        <v>66</v>
      </c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3"/>
      <c r="AI20" s="315"/>
      <c r="AJ20" s="316"/>
      <c r="AK20" s="77"/>
      <c r="AL20" s="128"/>
      <c r="AM20" s="129"/>
      <c r="AP20" s="87"/>
      <c r="AQ20" s="8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</row>
    <row r="21" spans="1:59" ht="12.75">
      <c r="A21" s="289" t="s">
        <v>33</v>
      </c>
      <c r="B21" s="289"/>
      <c r="C21" s="289"/>
      <c r="D21" s="2"/>
      <c r="E21" s="25"/>
      <c r="F21" s="63"/>
      <c r="G21" s="63"/>
      <c r="H21" s="63"/>
      <c r="I21" s="45"/>
      <c r="J21" s="20"/>
      <c r="K21" s="20"/>
      <c r="L21" s="20"/>
      <c r="M21" s="20"/>
      <c r="N21" s="20"/>
      <c r="O21" s="20"/>
      <c r="P21" s="62"/>
      <c r="Q21" s="289" t="s">
        <v>33</v>
      </c>
      <c r="R21" s="289"/>
      <c r="S21" s="289"/>
      <c r="T21" s="2">
        <f>+D21</f>
        <v>0</v>
      </c>
      <c r="U21" s="25"/>
      <c r="V21" s="63" t="str">
        <f>IF(CNG="Si","Mesi a carico",Vuota1)</f>
        <v>        </v>
      </c>
      <c r="W21" s="63"/>
      <c r="X21" s="63"/>
      <c r="Y21" s="45">
        <v>12</v>
      </c>
      <c r="Z21" s="20"/>
      <c r="AA21" s="20"/>
      <c r="AB21" s="20"/>
      <c r="AC21" s="20"/>
      <c r="AD21" s="20"/>
      <c r="AE21" s="20"/>
      <c r="AF21" s="62"/>
      <c r="AI21" s="315"/>
      <c r="AJ21" s="316"/>
      <c r="AK21" s="77"/>
      <c r="AL21" s="128"/>
      <c r="AM21" s="129"/>
      <c r="AP21" s="87"/>
      <c r="AQ21" s="87"/>
      <c r="AT21" s="77"/>
      <c r="AU21" s="303" t="s">
        <v>83</v>
      </c>
      <c r="AV21" s="304"/>
      <c r="AW21" s="305"/>
      <c r="AX21" s="77"/>
      <c r="AY21" s="77"/>
      <c r="AZ21" s="77"/>
      <c r="BA21" s="77"/>
      <c r="BB21" s="77"/>
      <c r="BC21" s="77"/>
      <c r="BD21" s="77"/>
      <c r="BE21" s="77"/>
      <c r="BF21" s="77"/>
      <c r="BG21" s="77"/>
    </row>
    <row r="22" spans="1:59" ht="12.75">
      <c r="A22" s="64"/>
      <c r="B22" s="63"/>
      <c r="C22" s="48"/>
      <c r="D22" s="20"/>
      <c r="E22" s="25"/>
      <c r="F22" s="63"/>
      <c r="G22" s="63"/>
      <c r="H22" s="63"/>
      <c r="I22" s="20"/>
      <c r="J22" s="20"/>
      <c r="K22" s="20"/>
      <c r="L22" s="20"/>
      <c r="M22" s="20"/>
      <c r="N22" s="20"/>
      <c r="O22" s="20"/>
      <c r="P22" s="62"/>
      <c r="Q22" s="64"/>
      <c r="R22" s="63"/>
      <c r="S22" s="48"/>
      <c r="T22" s="20"/>
      <c r="U22" s="25"/>
      <c r="V22" s="63"/>
      <c r="W22" s="63"/>
      <c r="X22" s="63"/>
      <c r="Y22" s="20"/>
      <c r="Z22" s="20"/>
      <c r="AA22" s="20"/>
      <c r="AB22" s="20"/>
      <c r="AC22" s="20"/>
      <c r="AD22" s="20"/>
      <c r="AE22" s="20"/>
      <c r="AF22" s="62"/>
      <c r="AI22" s="315"/>
      <c r="AJ22" s="316"/>
      <c r="AK22" s="77"/>
      <c r="AL22" s="128"/>
      <c r="AM22" s="129"/>
      <c r="AP22" s="87"/>
      <c r="AQ22" s="87"/>
      <c r="AT22" s="77"/>
      <c r="AU22" s="306"/>
      <c r="AV22" s="257"/>
      <c r="AW22" s="307"/>
      <c r="AX22" s="77"/>
      <c r="AY22" s="77"/>
      <c r="AZ22" s="77"/>
      <c r="BA22" s="77"/>
      <c r="BB22" s="77"/>
      <c r="BC22" s="77"/>
      <c r="BD22" s="77"/>
      <c r="BE22" s="77"/>
      <c r="BF22" s="77"/>
      <c r="BG22" s="77"/>
    </row>
    <row r="23" spans="1:59" ht="12.75">
      <c r="A23" s="54" t="s">
        <v>67</v>
      </c>
      <c r="B23" s="55"/>
      <c r="C23" s="56"/>
      <c r="D23" s="49"/>
      <c r="E23" s="20"/>
      <c r="F23" s="63" t="str">
        <f>IF(N_Fgl&gt;0,"Se il 1° figlio è in assenza del coniuge barrare la casella &gt;&gt;&gt;&gt;",Vuota1)</f>
        <v>        </v>
      </c>
      <c r="G23" s="63"/>
      <c r="H23" s="63"/>
      <c r="I23" s="20"/>
      <c r="J23" s="25"/>
      <c r="K23" s="20"/>
      <c r="L23" s="20"/>
      <c r="M23" s="20"/>
      <c r="N23" s="43"/>
      <c r="O23" s="63"/>
      <c r="P23" s="65"/>
      <c r="Q23" s="54" t="s">
        <v>67</v>
      </c>
      <c r="R23" s="55"/>
      <c r="S23" s="56"/>
      <c r="T23" s="49">
        <f>+D23</f>
        <v>0</v>
      </c>
      <c r="U23" s="20"/>
      <c r="V23" s="63" t="str">
        <f>IF(N_Fgl&gt;0,"Se il 1° figlio è in assenza delconiuge barrare la casella &gt;&gt;&gt;&gt;",Vuota1)</f>
        <v>        </v>
      </c>
      <c r="W23" s="63"/>
      <c r="X23" s="63"/>
      <c r="Y23" s="20"/>
      <c r="Z23" s="25"/>
      <c r="AA23" s="20"/>
      <c r="AB23" s="20"/>
      <c r="AC23" s="20"/>
      <c r="AD23" s="44">
        <f>+N23</f>
        <v>0</v>
      </c>
      <c r="AE23" s="63" t="str">
        <f>IF(AD23&gt;0,"Mesi a carico",Vuota1)</f>
        <v>        </v>
      </c>
      <c r="AF23" s="65"/>
      <c r="AI23" s="315"/>
      <c r="AJ23" s="316"/>
      <c r="AK23" s="77"/>
      <c r="AL23" s="128"/>
      <c r="AM23" s="129"/>
      <c r="AP23" s="87"/>
      <c r="AQ23" s="87"/>
      <c r="AT23" s="77"/>
      <c r="AU23" s="306"/>
      <c r="AV23" s="257"/>
      <c r="AW23" s="307"/>
      <c r="AX23" s="77"/>
      <c r="AY23" s="77"/>
      <c r="AZ23" s="77"/>
      <c r="BA23" s="77"/>
      <c r="BB23" s="77"/>
      <c r="BC23" s="77"/>
      <c r="BD23" s="77"/>
      <c r="BE23" s="77"/>
      <c r="BF23" s="77"/>
      <c r="BG23" s="77"/>
    </row>
    <row r="24" spans="1:59" ht="12.75" customHeight="1">
      <c r="A24" s="47"/>
      <c r="B24" s="239" t="s">
        <v>64</v>
      </c>
      <c r="C24" s="240"/>
      <c r="D24" s="293"/>
      <c r="E24" s="294" t="s">
        <v>65</v>
      </c>
      <c r="F24" s="295"/>
      <c r="G24" s="293"/>
      <c r="H24" s="294" t="s">
        <v>59</v>
      </c>
      <c r="I24" s="295"/>
      <c r="J24" s="293"/>
      <c r="K24" s="48"/>
      <c r="L24" s="63"/>
      <c r="M24" s="20"/>
      <c r="N24" s="20"/>
      <c r="O24" s="20"/>
      <c r="P24" s="62"/>
      <c r="Q24" s="47"/>
      <c r="R24" s="239" t="s">
        <v>64</v>
      </c>
      <c r="S24" s="240"/>
      <c r="T24" s="293"/>
      <c r="U24" s="294" t="s">
        <v>65</v>
      </c>
      <c r="V24" s="295"/>
      <c r="W24" s="293"/>
      <c r="X24" s="294" t="s">
        <v>59</v>
      </c>
      <c r="Y24" s="295"/>
      <c r="Z24" s="293"/>
      <c r="AA24" s="42" t="s">
        <v>80</v>
      </c>
      <c r="AB24" s="63"/>
      <c r="AC24" s="20"/>
      <c r="AD24" s="20"/>
      <c r="AE24" s="20"/>
      <c r="AF24" s="62"/>
      <c r="AI24" s="315"/>
      <c r="AJ24" s="316"/>
      <c r="AK24" s="77"/>
      <c r="AL24" s="128"/>
      <c r="AM24" s="129"/>
      <c r="AP24" s="87"/>
      <c r="AQ24" s="87"/>
      <c r="AT24" s="77"/>
      <c r="AU24" s="306"/>
      <c r="AV24" s="257"/>
      <c r="AW24" s="307"/>
      <c r="AX24" s="77"/>
      <c r="AY24" s="77"/>
      <c r="AZ24" s="77"/>
      <c r="BA24" s="77"/>
      <c r="BB24" s="77"/>
      <c r="BC24" s="77"/>
      <c r="BD24" s="77"/>
      <c r="BE24" s="77"/>
      <c r="BF24" s="77"/>
      <c r="BG24" s="77"/>
    </row>
    <row r="25" spans="1:59" ht="12.75" customHeight="1">
      <c r="A25" s="64" t="str">
        <f>IF(N_Fgl&gt;0,"1° figlio",Vuota1)</f>
        <v>        </v>
      </c>
      <c r="B25" s="63"/>
      <c r="C25" s="43"/>
      <c r="D25" s="63"/>
      <c r="E25" s="63"/>
      <c r="F25" s="43"/>
      <c r="G25" s="63"/>
      <c r="H25" s="63"/>
      <c r="I25" s="43"/>
      <c r="J25" s="63"/>
      <c r="K25" s="63"/>
      <c r="L25" s="66" t="str">
        <f>IF($D$23&gt;0,ROUND(AB25/12,2),Vuota1)</f>
        <v>        </v>
      </c>
      <c r="M25" s="231" t="s">
        <v>69</v>
      </c>
      <c r="N25" s="232"/>
      <c r="O25" s="233"/>
      <c r="P25" s="244">
        <v>1</v>
      </c>
      <c r="Q25" s="64" t="str">
        <f>IF(N_Fgl&gt;0,"1° figlio",Vuota1)</f>
        <v>        </v>
      </c>
      <c r="R25" s="63"/>
      <c r="S25" s="43">
        <f aca="true" t="shared" si="2" ref="S25:S31">+C25</f>
        <v>0</v>
      </c>
      <c r="T25" s="63"/>
      <c r="U25" s="63"/>
      <c r="V25" s="43">
        <f aca="true" t="shared" si="3" ref="V25:V31">+F25</f>
        <v>0</v>
      </c>
      <c r="W25" s="63"/>
      <c r="X25" s="63"/>
      <c r="Y25" s="43">
        <f aca="true" t="shared" si="4" ref="Y25:Y31">+I25</f>
        <v>0</v>
      </c>
      <c r="Z25" s="63"/>
      <c r="AA25" s="43"/>
      <c r="AB25" s="66" t="str">
        <f>IF(N_Fgl&gt;0,IF(AD23&gt;0,AH27,ROUND(dsfig*Percm,2)+IF($V$25&gt;0,ROUND((dsfg3-dsfig)*Percm,2),0)+IF($Y$25&gt;0,ROUND(dsfhc*Percm,2),0)),Vuota1)</f>
        <v>        </v>
      </c>
      <c r="AC25" s="231" t="s">
        <v>69</v>
      </c>
      <c r="AD25" s="232"/>
      <c r="AE25" s="233"/>
      <c r="AF25" s="244">
        <f>+P25</f>
        <v>1</v>
      </c>
      <c r="AH25" s="106">
        <f>ROUND(dsfig,5)+IF($V$25&gt;0,ROUND(dsfg3-dsfig,5),0)+IF($Y$25&gt;0,ROUND(dsfhc,5),0)</f>
        <v>0</v>
      </c>
      <c r="AI25" s="315"/>
      <c r="AJ25" s="316"/>
      <c r="AK25" s="77"/>
      <c r="AL25" s="128"/>
      <c r="AM25" s="129"/>
      <c r="AP25" s="87"/>
      <c r="AQ25" s="87"/>
      <c r="AT25" s="77"/>
      <c r="AU25" s="308"/>
      <c r="AV25" s="309"/>
      <c r="AW25" s="310"/>
      <c r="AX25" s="77"/>
      <c r="AY25" s="77"/>
      <c r="AZ25" s="77"/>
      <c r="BA25" s="77"/>
      <c r="BB25" s="77"/>
      <c r="BC25" s="77"/>
      <c r="BD25" s="77"/>
      <c r="BE25" s="77"/>
      <c r="BF25" s="77"/>
      <c r="BG25" s="77"/>
    </row>
    <row r="26" spans="1:59" ht="12.75">
      <c r="A26" s="64" t="str">
        <f>IF(N_Fgl&gt;1,"2° figlio"," ")</f>
        <v> </v>
      </c>
      <c r="B26" s="63"/>
      <c r="C26" s="43"/>
      <c r="D26" s="63"/>
      <c r="E26" s="63"/>
      <c r="F26" s="43"/>
      <c r="G26" s="63"/>
      <c r="H26" s="63"/>
      <c r="I26" s="43"/>
      <c r="J26" s="63"/>
      <c r="K26" s="63"/>
      <c r="L26" s="66" t="str">
        <f>IF($D$23&gt;1,ROUND(AB26/12,2),Vuota1)</f>
        <v>        </v>
      </c>
      <c r="M26" s="234"/>
      <c r="N26" s="188"/>
      <c r="O26" s="235"/>
      <c r="P26" s="245"/>
      <c r="Q26" s="64" t="str">
        <f>IF(N_Fgl&gt;1,"2° figlio"," ")</f>
        <v> </v>
      </c>
      <c r="R26" s="63"/>
      <c r="S26" s="43">
        <f t="shared" si="2"/>
        <v>0</v>
      </c>
      <c r="T26" s="63"/>
      <c r="U26" s="63"/>
      <c r="V26" s="43">
        <f t="shared" si="3"/>
        <v>0</v>
      </c>
      <c r="W26" s="63"/>
      <c r="X26" s="63"/>
      <c r="Y26" s="43">
        <f t="shared" si="4"/>
        <v>0</v>
      </c>
      <c r="Z26" s="63"/>
      <c r="AA26" s="43"/>
      <c r="AB26" s="66" t="str">
        <f>IF(N_Fgl&gt;1,ROUND(dsfig*Percm,2)+IF(V26&gt;0,ROUND((dsfg3-dsfig)*Percm,2),0)+IF(Y26&gt;0,ROUND(dsfhc*Percm,2),0),Vuota1)</f>
        <v>        </v>
      </c>
      <c r="AC26" s="234"/>
      <c r="AD26" s="188"/>
      <c r="AE26" s="235"/>
      <c r="AF26" s="245"/>
      <c r="AI26" s="315"/>
      <c r="AJ26" s="316"/>
      <c r="AK26" s="77"/>
      <c r="AL26" s="128"/>
      <c r="AM26" s="129"/>
      <c r="AP26" s="87"/>
      <c r="AQ26" s="8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</row>
    <row r="27" spans="1:59" ht="12.75">
      <c r="A27" s="64" t="str">
        <f>IF(N_Fgl&gt;2,"3° figlio"," ")</f>
        <v> </v>
      </c>
      <c r="B27" s="63"/>
      <c r="C27" s="43"/>
      <c r="D27" s="63"/>
      <c r="E27" s="63"/>
      <c r="F27" s="43"/>
      <c r="G27" s="63"/>
      <c r="H27" s="63"/>
      <c r="I27" s="43"/>
      <c r="J27" s="63"/>
      <c r="K27" s="63"/>
      <c r="L27" s="66" t="str">
        <f>IF($D$23&gt;2,ROUND(AB27/12,2),Vuota1)</f>
        <v>        </v>
      </c>
      <c r="M27" s="236"/>
      <c r="N27" s="237"/>
      <c r="O27" s="238"/>
      <c r="P27" s="246"/>
      <c r="Q27" s="64" t="str">
        <f>IF(N_Fgl&gt;2,"3° figlio"," ")</f>
        <v> </v>
      </c>
      <c r="R27" s="63"/>
      <c r="S27" s="43">
        <f t="shared" si="2"/>
        <v>0</v>
      </c>
      <c r="T27" s="63"/>
      <c r="U27" s="63"/>
      <c r="V27" s="43">
        <f t="shared" si="3"/>
        <v>0</v>
      </c>
      <c r="W27" s="63"/>
      <c r="X27" s="63"/>
      <c r="Y27" s="43">
        <f t="shared" si="4"/>
        <v>0</v>
      </c>
      <c r="Z27" s="63"/>
      <c r="AA27" s="43"/>
      <c r="AB27" s="66" t="str">
        <f>IF(N_Fgl&gt;2,ROUND(dsfig*Percm,2)+IF(V27&gt;0,ROUND((dsfg3-dsfig)*Percm,2),0)+IF(Y27&gt;0,ROUND(dsfhc*Percm,2),0),Vuota1)</f>
        <v>        </v>
      </c>
      <c r="AC27" s="236"/>
      <c r="AD27" s="237"/>
      <c r="AE27" s="238"/>
      <c r="AF27" s="246"/>
      <c r="AH27" s="106">
        <f>IF($AD$23&gt;0,IF($AH$25&gt;Cng_nn,ROUND($AH$25,2),ROUND(Cng_nn,5)),AH25)</f>
        <v>0</v>
      </c>
      <c r="AI27" s="315"/>
      <c r="AJ27" s="316"/>
      <c r="AK27" s="77"/>
      <c r="AL27" s="128"/>
      <c r="AM27" s="129"/>
      <c r="AP27" s="87"/>
      <c r="AQ27" s="8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</row>
    <row r="28" spans="1:59" ht="12.75">
      <c r="A28" s="64" t="str">
        <f>IF(N_Fgl&gt;3,"4° figlio"," ")</f>
        <v> </v>
      </c>
      <c r="B28" s="63"/>
      <c r="C28" s="43"/>
      <c r="D28" s="63"/>
      <c r="E28" s="63"/>
      <c r="F28" s="43"/>
      <c r="G28" s="63"/>
      <c r="H28" s="63"/>
      <c r="I28" s="43"/>
      <c r="J28" s="63"/>
      <c r="K28" s="63"/>
      <c r="L28" s="66" t="str">
        <f>IF($D$23&gt;3,ROUND(AB28/12,2),Vuota1)</f>
        <v>        </v>
      </c>
      <c r="M28" s="319" t="str">
        <f>IF(N23&gt;0,IF(P25=50%,"Attenzione: la percentuale deve essere 100%",Vuota1),Vuota1)</f>
        <v>        </v>
      </c>
      <c r="N28" s="319"/>
      <c r="O28" s="319"/>
      <c r="P28" s="320"/>
      <c r="Q28" s="64" t="str">
        <f>IF(N_Fgl&gt;3,"4° figlio"," ")</f>
        <v> </v>
      </c>
      <c r="R28" s="63"/>
      <c r="S28" s="43">
        <f t="shared" si="2"/>
        <v>0</v>
      </c>
      <c r="T28" s="63"/>
      <c r="U28" s="63"/>
      <c r="V28" s="43">
        <f t="shared" si="3"/>
        <v>0</v>
      </c>
      <c r="W28" s="63"/>
      <c r="X28" s="63"/>
      <c r="Y28" s="43">
        <f t="shared" si="4"/>
        <v>0</v>
      </c>
      <c r="Z28" s="63"/>
      <c r="AA28" s="43"/>
      <c r="AB28" s="66" t="str">
        <f>IF(N_Fgl&gt;3,ROUND(dsfig*Percm,2)+IF(V28&gt;0,ROUND((dsfg3-dsfig)*Percm,2),0)+IF(Y28&gt;0,ROUND(dsfhc*Percm,2),0),Vuota1)</f>
        <v>        </v>
      </c>
      <c r="AC28" s="20"/>
      <c r="AD28" s="20"/>
      <c r="AE28" s="20"/>
      <c r="AF28" s="62"/>
      <c r="AI28" s="315"/>
      <c r="AJ28" s="316"/>
      <c r="AK28" s="77"/>
      <c r="AL28" s="128"/>
      <c r="AM28" s="129"/>
      <c r="AP28" s="87"/>
      <c r="AQ28" s="8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</row>
    <row r="29" spans="1:59" ht="13.5" thickBot="1">
      <c r="A29" s="64" t="str">
        <f>IF(N_Fgl&gt;4,"5° figlio"," ")</f>
        <v> </v>
      </c>
      <c r="B29" s="63"/>
      <c r="C29" s="43"/>
      <c r="D29" s="63"/>
      <c r="E29" s="63"/>
      <c r="F29" s="43"/>
      <c r="G29" s="63"/>
      <c r="H29" s="63"/>
      <c r="I29" s="43"/>
      <c r="J29" s="63"/>
      <c r="K29" s="63"/>
      <c r="L29" s="66" t="str">
        <f>IF($D$23&gt;4,ROUND(AB29/12,2),Vuota1)</f>
        <v>        </v>
      </c>
      <c r="M29" s="321"/>
      <c r="N29" s="321"/>
      <c r="O29" s="321"/>
      <c r="P29" s="322"/>
      <c r="Q29" s="64" t="str">
        <f>IF(N_Fgl&gt;4,"5° figlio"," ")</f>
        <v> </v>
      </c>
      <c r="R29" s="63"/>
      <c r="S29" s="43">
        <f t="shared" si="2"/>
        <v>0</v>
      </c>
      <c r="T29" s="63"/>
      <c r="U29" s="63"/>
      <c r="V29" s="43">
        <f t="shared" si="3"/>
        <v>0</v>
      </c>
      <c r="W29" s="63"/>
      <c r="X29" s="63"/>
      <c r="Y29" s="43">
        <f t="shared" si="4"/>
        <v>0</v>
      </c>
      <c r="Z29" s="63"/>
      <c r="AA29" s="43"/>
      <c r="AB29" s="66" t="str">
        <f>IF(N_Fgl&gt;4,ROUND(dsfig*Percm,2)+IF(V29&gt;0,ROUND((dsfg3-dsfig)*Percm,2),0)+IF(Y29&gt;0,ROUND(dsfhc*Percm,2),0),Vuota1)</f>
        <v>        </v>
      </c>
      <c r="AC29" s="20"/>
      <c r="AD29" s="20"/>
      <c r="AE29" s="20"/>
      <c r="AF29" s="62"/>
      <c r="AI29" s="315"/>
      <c r="AJ29" s="316"/>
      <c r="AK29" s="77"/>
      <c r="AL29" s="128"/>
      <c r="AM29" s="129"/>
      <c r="AP29" s="87"/>
      <c r="AQ29" s="8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</row>
    <row r="30" spans="1:59" ht="13.5" thickTop="1">
      <c r="A30" s="64" t="str">
        <f>IF(N_Fgl&gt;5,"6° figlio"," ")</f>
        <v> </v>
      </c>
      <c r="B30" s="63"/>
      <c r="C30" s="43"/>
      <c r="D30" s="63"/>
      <c r="E30" s="63"/>
      <c r="F30" s="43"/>
      <c r="G30" s="63"/>
      <c r="H30" s="63"/>
      <c r="I30" s="43"/>
      <c r="J30" s="63"/>
      <c r="K30" s="63"/>
      <c r="L30" s="66" t="str">
        <f>IF($D$23&gt;5,ROUND(AB30/12,2),Vuota1)</f>
        <v>        </v>
      </c>
      <c r="M30" s="20"/>
      <c r="N30" s="20"/>
      <c r="O30" s="20"/>
      <c r="P30" s="62"/>
      <c r="Q30" s="64" t="str">
        <f>IF(N_Fgl&gt;5,"6° figlio"," ")</f>
        <v> </v>
      </c>
      <c r="R30" s="63"/>
      <c r="S30" s="43">
        <f t="shared" si="2"/>
        <v>0</v>
      </c>
      <c r="T30" s="63"/>
      <c r="U30" s="63"/>
      <c r="V30" s="43">
        <f t="shared" si="3"/>
        <v>0</v>
      </c>
      <c r="W30" s="63"/>
      <c r="X30" s="63"/>
      <c r="Y30" s="43">
        <f t="shared" si="4"/>
        <v>0</v>
      </c>
      <c r="Z30" s="63"/>
      <c r="AA30" s="43"/>
      <c r="AB30" s="66" t="str">
        <f>IF(N_Fgl&gt;5,ROUND(dsfig*Percm,2)+IF(V30&gt;0,ROUND((dsfg3-dsfig)*Percm,2),0)+IF(Y30&gt;0,ROUND(dsfhc*Percm,2),0),Vuota1)</f>
        <v>        </v>
      </c>
      <c r="AC30" s="20"/>
      <c r="AD30" s="20"/>
      <c r="AE30" s="20"/>
      <c r="AF30" s="62"/>
      <c r="AI30" s="315"/>
      <c r="AJ30" s="316"/>
      <c r="AK30" s="77"/>
      <c r="AL30" s="128"/>
      <c r="AM30" s="129"/>
      <c r="AP30" s="87"/>
      <c r="AQ30" s="87"/>
      <c r="AT30" s="77"/>
      <c r="AU30" s="253" t="s">
        <v>99</v>
      </c>
      <c r="AV30" s="254"/>
      <c r="AW30" s="255"/>
      <c r="AX30" s="77"/>
      <c r="AY30" s="77"/>
      <c r="AZ30" s="77"/>
      <c r="BA30" s="77"/>
      <c r="BB30" s="77"/>
      <c r="BC30" s="77"/>
      <c r="BD30" s="77"/>
      <c r="BE30" s="77"/>
      <c r="BF30" s="77"/>
      <c r="BG30" s="77"/>
    </row>
    <row r="31" spans="1:59" ht="12.75">
      <c r="A31" s="64" t="str">
        <f>IF(N_Fgl&gt;6,"7° figlio"," ")</f>
        <v> </v>
      </c>
      <c r="B31" s="63"/>
      <c r="C31" s="43"/>
      <c r="D31" s="63"/>
      <c r="E31" s="63"/>
      <c r="F31" s="43"/>
      <c r="G31" s="63"/>
      <c r="H31" s="63"/>
      <c r="I31" s="43"/>
      <c r="J31" s="63"/>
      <c r="K31" s="63"/>
      <c r="L31" s="66" t="str">
        <f>IF($D$23&gt;6,ROUND(AB31/12,2),Vuota1)</f>
        <v>        </v>
      </c>
      <c r="M31" s="20"/>
      <c r="N31" s="20"/>
      <c r="O31" s="20"/>
      <c r="P31" s="62"/>
      <c r="Q31" s="64" t="str">
        <f>IF(N_Fgl&gt;6,"7° figlio"," ")</f>
        <v> </v>
      </c>
      <c r="R31" s="63"/>
      <c r="S31" s="43">
        <f t="shared" si="2"/>
        <v>0</v>
      </c>
      <c r="T31" s="63"/>
      <c r="U31" s="63"/>
      <c r="V31" s="43">
        <f t="shared" si="3"/>
        <v>0</v>
      </c>
      <c r="W31" s="63"/>
      <c r="X31" s="63"/>
      <c r="Y31" s="43">
        <f t="shared" si="4"/>
        <v>0</v>
      </c>
      <c r="Z31" s="63"/>
      <c r="AA31" s="43"/>
      <c r="AB31" s="66" t="str">
        <f>IF(N_Fgl&gt;6,ROUND(dsfig*Percm,2)+IF(V31&gt;0,ROUND((dsfg3-dsfig)*Percm,2),0)+IF(Y31&gt;0,ROUND(dsfhc*Percm,2),0),Vuota1)</f>
        <v>        </v>
      </c>
      <c r="AC31" s="20"/>
      <c r="AD31" s="20"/>
      <c r="AE31" s="20"/>
      <c r="AF31" s="62"/>
      <c r="AI31" s="315"/>
      <c r="AJ31" s="316"/>
      <c r="AK31" s="77"/>
      <c r="AL31" s="128"/>
      <c r="AM31" s="129"/>
      <c r="AP31" s="87"/>
      <c r="AQ31" s="87"/>
      <c r="AT31" s="77"/>
      <c r="AU31" s="256"/>
      <c r="AV31" s="257"/>
      <c r="AW31" s="258"/>
      <c r="AX31" s="77"/>
      <c r="AY31" s="77"/>
      <c r="AZ31" s="77"/>
      <c r="BA31" s="77"/>
      <c r="BB31" s="77"/>
      <c r="BC31" s="77"/>
      <c r="BD31" s="77"/>
      <c r="BE31" s="77"/>
      <c r="BF31" s="77"/>
      <c r="BG31" s="77"/>
    </row>
    <row r="32" spans="1:59" ht="12.75">
      <c r="A32" s="5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62"/>
      <c r="Q32" s="57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62"/>
      <c r="AI32" s="315"/>
      <c r="AJ32" s="316"/>
      <c r="AK32" s="77"/>
      <c r="AL32" s="128"/>
      <c r="AM32" s="129"/>
      <c r="AP32" s="87"/>
      <c r="AQ32" s="87"/>
      <c r="AT32" s="77"/>
      <c r="AU32" s="256"/>
      <c r="AV32" s="257"/>
      <c r="AW32" s="258"/>
      <c r="AX32" s="77"/>
      <c r="AY32" s="77"/>
      <c r="AZ32" s="77"/>
      <c r="BA32" s="77"/>
      <c r="BB32" s="77"/>
      <c r="BC32" s="77"/>
      <c r="BD32" s="77"/>
      <c r="BE32" s="77"/>
      <c r="BF32" s="77"/>
      <c r="BG32" s="77"/>
    </row>
    <row r="33" spans="1:59" ht="12.75" customHeight="1">
      <c r="A33" s="286" t="s">
        <v>86</v>
      </c>
      <c r="B33" s="287"/>
      <c r="C33" s="288"/>
      <c r="D33" s="2"/>
      <c r="E33" s="20"/>
      <c r="F33" s="63"/>
      <c r="G33" s="63"/>
      <c r="H33" s="63"/>
      <c r="I33" s="45"/>
      <c r="J33" s="20"/>
      <c r="K33" s="188" t="str">
        <f>IF(D33&gt;0,"Indicare il numero complessivo degli aventi diritto alla detrazione pro quota",Vuota1)</f>
        <v>        </v>
      </c>
      <c r="L33" s="179"/>
      <c r="M33" s="179"/>
      <c r="N33" s="179"/>
      <c r="O33" s="179"/>
      <c r="P33" s="223"/>
      <c r="Q33" s="286" t="s">
        <v>86</v>
      </c>
      <c r="R33" s="287"/>
      <c r="S33" s="288"/>
      <c r="T33" s="2">
        <f>+D33</f>
        <v>0</v>
      </c>
      <c r="U33" s="20"/>
      <c r="V33" s="63" t="str">
        <f>IF(T33&gt;0,"Mesi a carico",Vuota1)</f>
        <v>        </v>
      </c>
      <c r="W33" s="63"/>
      <c r="X33" s="63"/>
      <c r="Y33" s="45">
        <v>12</v>
      </c>
      <c r="Z33" s="20"/>
      <c r="AA33" s="188" t="str">
        <f>IF(T33&gt;0,"Indicare il numero complessivo degli aventi diritto alla detrazione pro quota",Vuota1)</f>
        <v>        </v>
      </c>
      <c r="AB33" s="311"/>
      <c r="AC33" s="311"/>
      <c r="AD33" s="311"/>
      <c r="AE33" s="311"/>
      <c r="AF33" s="223">
        <f>+P33</f>
        <v>0</v>
      </c>
      <c r="AI33" s="315"/>
      <c r="AJ33" s="316"/>
      <c r="AK33" s="77"/>
      <c r="AL33" s="128"/>
      <c r="AM33" s="129"/>
      <c r="AP33" s="87"/>
      <c r="AQ33" s="87"/>
      <c r="AT33" s="77"/>
      <c r="AU33" s="256"/>
      <c r="AV33" s="257"/>
      <c r="AW33" s="258"/>
      <c r="AX33" s="77"/>
      <c r="AY33" s="77"/>
      <c r="AZ33" s="77"/>
      <c r="BA33" s="77"/>
      <c r="BB33" s="77"/>
      <c r="BC33" s="77"/>
      <c r="BD33" s="77"/>
      <c r="BE33" s="77"/>
      <c r="BF33" s="77"/>
      <c r="BG33" s="77"/>
    </row>
    <row r="34" spans="1:59" ht="12.75">
      <c r="A34" s="80"/>
      <c r="B34" s="81"/>
      <c r="C34" s="81"/>
      <c r="D34" s="82"/>
      <c r="E34" s="20"/>
      <c r="F34" s="63"/>
      <c r="G34" s="63"/>
      <c r="H34" s="63"/>
      <c r="I34" s="45"/>
      <c r="J34" s="20"/>
      <c r="K34" s="180"/>
      <c r="L34" s="180"/>
      <c r="M34" s="180"/>
      <c r="N34" s="180"/>
      <c r="O34" s="180"/>
      <c r="P34" s="224"/>
      <c r="Q34" s="80"/>
      <c r="R34" s="81"/>
      <c r="S34" s="81"/>
      <c r="T34" s="82"/>
      <c r="U34" s="20"/>
      <c r="V34" s="63"/>
      <c r="W34" s="63"/>
      <c r="X34" s="63"/>
      <c r="Y34" s="45"/>
      <c r="Z34" s="20"/>
      <c r="AA34" s="180"/>
      <c r="AB34" s="180"/>
      <c r="AC34" s="180"/>
      <c r="AD34" s="180"/>
      <c r="AE34" s="180"/>
      <c r="AF34" s="224"/>
      <c r="AI34" s="315"/>
      <c r="AJ34" s="316"/>
      <c r="AK34" s="77"/>
      <c r="AL34" s="128"/>
      <c r="AM34" s="129"/>
      <c r="AP34" s="87"/>
      <c r="AQ34" s="87"/>
      <c r="AT34" s="77"/>
      <c r="AU34" s="256"/>
      <c r="AV34" s="257"/>
      <c r="AW34" s="258"/>
      <c r="AX34" s="77"/>
      <c r="AY34" s="77"/>
      <c r="AZ34" s="77"/>
      <c r="BA34" s="77"/>
      <c r="BB34" s="77"/>
      <c r="BC34" s="77"/>
      <c r="BD34" s="77"/>
      <c r="BE34" s="77"/>
      <c r="BF34" s="77"/>
      <c r="BG34" s="77"/>
    </row>
    <row r="35" spans="1:59" ht="12.75">
      <c r="A35" s="165" t="s">
        <v>70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7"/>
      <c r="Q35" s="165" t="s">
        <v>70</v>
      </c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7"/>
      <c r="AI35" s="315"/>
      <c r="AJ35" s="316"/>
      <c r="AK35" s="77"/>
      <c r="AL35" s="120">
        <v>0.0001</v>
      </c>
      <c r="AM35" s="121">
        <f>ROUND(DetrConiuge-(Ind*Rapp),2)</f>
        <v>800</v>
      </c>
      <c r="AO35">
        <f>IF(AP35&gt;0,1,0)</f>
        <v>0</v>
      </c>
      <c r="AP35" s="87"/>
      <c r="AQ35" s="87">
        <v>200</v>
      </c>
      <c r="AT35" s="77"/>
      <c r="AU35" s="256"/>
      <c r="AV35" s="257"/>
      <c r="AW35" s="258"/>
      <c r="AX35" s="77"/>
      <c r="AY35" s="77"/>
      <c r="AZ35" s="77"/>
      <c r="BA35" s="77"/>
      <c r="BB35" s="77"/>
      <c r="BC35" s="77"/>
      <c r="BD35" s="77"/>
      <c r="BE35" s="77"/>
      <c r="BF35" s="77"/>
      <c r="BG35" s="77"/>
    </row>
    <row r="36" spans="1:59" ht="12.75">
      <c r="A36" s="290" t="s">
        <v>32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2"/>
      <c r="Q36" s="290" t="s">
        <v>32</v>
      </c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2"/>
      <c r="AH36" s="184" t="s">
        <v>62</v>
      </c>
      <c r="AI36" s="315"/>
      <c r="AJ36" s="316"/>
      <c r="AK36" s="77"/>
      <c r="AL36" s="122">
        <v>1</v>
      </c>
      <c r="AM36" s="121">
        <f>+DetrRid</f>
        <v>690</v>
      </c>
      <c r="AO36">
        <f>IF(AP36&gt;0,1,0)</f>
        <v>0</v>
      </c>
      <c r="AP36" s="87"/>
      <c r="AQ36" s="87">
        <v>1500</v>
      </c>
      <c r="AT36" s="77"/>
      <c r="AU36" s="256"/>
      <c r="AV36" s="257"/>
      <c r="AW36" s="258"/>
      <c r="AX36" s="77"/>
      <c r="AY36" s="77"/>
      <c r="AZ36" s="77"/>
      <c r="BA36" s="77"/>
      <c r="BB36" s="77"/>
      <c r="BC36" s="77"/>
      <c r="BD36" s="77"/>
      <c r="BE36" s="77"/>
      <c r="BF36" s="77"/>
      <c r="BG36" s="77"/>
    </row>
    <row r="37" spans="1:59" ht="12.75">
      <c r="A37" s="225" t="s">
        <v>19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7"/>
      <c r="M37" s="3">
        <f>ROUND(AC37/12,0)</f>
        <v>0</v>
      </c>
      <c r="N37" s="20"/>
      <c r="O37" s="20"/>
      <c r="P37" s="62"/>
      <c r="Q37" s="225" t="s">
        <v>19</v>
      </c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7"/>
      <c r="AC37" s="3">
        <f>IF(CNG="SI",ROUND((VLOOKUP(Redd_Detraz,ConDetr,3)+VLOOKUP(Redd_Detraz,LettB,3))/12*Me_co,2),0)</f>
        <v>0</v>
      </c>
      <c r="AD37" s="20"/>
      <c r="AE37" s="20"/>
      <c r="AF37" s="62"/>
      <c r="AH37" s="184"/>
      <c r="AI37" s="315"/>
      <c r="AJ37" s="316"/>
      <c r="AK37" s="77"/>
      <c r="AL37" s="123">
        <v>10</v>
      </c>
      <c r="AM37" s="124">
        <f>ROUND(DetrConiuge-(Ind*Rapp),2)</f>
        <v>800</v>
      </c>
      <c r="AO37">
        <f>SUM(AO18:AO36)</f>
        <v>0</v>
      </c>
      <c r="AT37" s="77"/>
      <c r="AU37" s="256"/>
      <c r="AV37" s="257"/>
      <c r="AW37" s="258"/>
      <c r="AX37" s="77"/>
      <c r="AY37" s="77"/>
      <c r="AZ37" s="77"/>
      <c r="BA37" s="77"/>
      <c r="BB37" s="77"/>
      <c r="BC37" s="77"/>
      <c r="BD37" s="77"/>
      <c r="BE37" s="77"/>
      <c r="BF37" s="77"/>
      <c r="BG37" s="77"/>
    </row>
    <row r="38" spans="1:59" ht="13.5" thickBot="1">
      <c r="A38" s="225" t="s">
        <v>42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7"/>
      <c r="M38" s="3">
        <f>ROUND(AC38/12,0)</f>
        <v>0</v>
      </c>
      <c r="N38" s="20"/>
      <c r="O38" s="20"/>
      <c r="P38" s="62"/>
      <c r="Q38" s="225" t="s">
        <v>42</v>
      </c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7"/>
      <c r="AC38" s="3">
        <f>SUMIF(AB25:AB31,"&gt;0")</f>
        <v>0</v>
      </c>
      <c r="AD38" s="20"/>
      <c r="AE38" s="20"/>
      <c r="AF38" s="62"/>
      <c r="AH38" s="109">
        <f>IF(Lordo&gt;0,ROUND((VLOOKUP(Redd_Detraz,ConDetr,3)+VLOOKUP(Redd_Detraz,LettB,3)),5),0)</f>
        <v>0</v>
      </c>
      <c r="AI38" s="315"/>
      <c r="AJ38" s="110">
        <v>40000</v>
      </c>
      <c r="AK38" s="77"/>
      <c r="AL38" s="125"/>
      <c r="AM38" s="126">
        <f>+DetrRid</f>
        <v>690</v>
      </c>
      <c r="AT38" s="77"/>
      <c r="AU38" s="259"/>
      <c r="AV38" s="260"/>
      <c r="AW38" s="261"/>
      <c r="AX38" s="77"/>
      <c r="AY38" s="77"/>
      <c r="AZ38" s="77"/>
      <c r="BA38" s="77"/>
      <c r="BB38" s="77"/>
      <c r="BC38" s="77"/>
      <c r="BD38" s="77"/>
      <c r="BE38" s="77"/>
      <c r="BF38" s="77"/>
      <c r="BG38" s="77"/>
    </row>
    <row r="39" spans="1:59" ht="13.5" thickTop="1">
      <c r="A39" s="225" t="s">
        <v>56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7"/>
      <c r="M39" s="3">
        <f>IF(D33&gt;0,IF(P33&gt;0,ROUND(AC39/12,0),0),0)</f>
        <v>0</v>
      </c>
      <c r="N39" s="20"/>
      <c r="O39" s="20"/>
      <c r="P39" s="62"/>
      <c r="Q39" s="225" t="s">
        <v>56</v>
      </c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7"/>
      <c r="AC39" s="3">
        <f>IF(T33&gt;0,ROUND(dsaltri*T33/12*Y33/AF33,2),0)</f>
        <v>0</v>
      </c>
      <c r="AD39" s="20"/>
      <c r="AE39" s="20"/>
      <c r="AF39" s="62"/>
      <c r="AI39" s="315"/>
      <c r="AJ39" s="316">
        <v>80000</v>
      </c>
      <c r="AK39" s="77"/>
      <c r="AL39" s="118">
        <v>0</v>
      </c>
      <c r="AM39" s="119">
        <v>0</v>
      </c>
      <c r="AP39">
        <f>IF(AO37&gt;0,IF(VLOOKUP(AP42,abi,2)&lt;DetrRid,DetrRid,VLOOKUP(AP42,abi,2)),0)</f>
        <v>0</v>
      </c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</row>
    <row r="40" spans="1:59" ht="12.75">
      <c r="A40" s="172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4"/>
      <c r="Q40" s="172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4"/>
      <c r="AH40" s="184" t="s">
        <v>63</v>
      </c>
      <c r="AI40" s="315"/>
      <c r="AJ40" s="316"/>
      <c r="AK40" s="77"/>
      <c r="AL40" s="120">
        <v>0.0001</v>
      </c>
      <c r="AM40" s="121">
        <f>ROUND(DetrRid*Rap1,2)</f>
        <v>1380</v>
      </c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</row>
    <row r="41" spans="1:59" ht="12.75">
      <c r="A41" s="225" t="s">
        <v>76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7"/>
      <c r="M41" s="3">
        <f>SUM(M37:M39)</f>
        <v>0</v>
      </c>
      <c r="N41" s="20"/>
      <c r="O41" s="20"/>
      <c r="P41" s="62"/>
      <c r="Q41" s="225" t="s">
        <v>76</v>
      </c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7"/>
      <c r="AC41" s="3">
        <f>SUM(AC37:AC39)</f>
        <v>0</v>
      </c>
      <c r="AD41" s="20"/>
      <c r="AE41" s="20"/>
      <c r="AF41" s="62"/>
      <c r="AH41" s="184"/>
      <c r="AI41" s="315"/>
      <c r="AJ41" s="316"/>
      <c r="AK41" s="77"/>
      <c r="AL41" s="122">
        <v>1</v>
      </c>
      <c r="AM41" s="121">
        <f>ROUND(DetrRid*Rap1,2)</f>
        <v>1380</v>
      </c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</row>
    <row r="42" spans="1:59" ht="12.75">
      <c r="A42" s="165" t="s">
        <v>71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7"/>
      <c r="Q42" s="165" t="s">
        <v>71</v>
      </c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7"/>
      <c r="AH42" s="106">
        <f>dsfig+IF($V$25&gt;0,dsfg3-dsfig,0)+IF($Y$25&gt;0,dsfhc,0)</f>
        <v>0</v>
      </c>
      <c r="AI42" s="315"/>
      <c r="AJ42" s="316"/>
      <c r="AK42" s="77"/>
      <c r="AL42" s="123">
        <v>10</v>
      </c>
      <c r="AM42" s="124">
        <f>ROUND(DetrRid*Rap1,2)</f>
        <v>1380</v>
      </c>
      <c r="AP42" t="s">
        <v>58</v>
      </c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</row>
    <row r="43" spans="1:59" ht="12.75">
      <c r="A43" s="155" t="s">
        <v>73</v>
      </c>
      <c r="B43" s="156"/>
      <c r="C43" s="156"/>
      <c r="D43" s="156"/>
      <c r="E43" s="156"/>
      <c r="F43" s="157"/>
      <c r="G43" s="46" t="str">
        <f>IF(E17&gt;0,IF(G44&gt;0,Vuota1,"x"),Vuota1)</f>
        <v>        </v>
      </c>
      <c r="H43" s="63"/>
      <c r="I43" s="312" t="s">
        <v>141</v>
      </c>
      <c r="J43" s="158"/>
      <c r="K43" s="158"/>
      <c r="L43" s="158"/>
      <c r="M43" s="2">
        <v>30</v>
      </c>
      <c r="N43" s="20"/>
      <c r="O43" s="20"/>
      <c r="P43" s="62"/>
      <c r="Q43" s="155" t="s">
        <v>73</v>
      </c>
      <c r="R43" s="156"/>
      <c r="S43" s="156"/>
      <c r="T43" s="156"/>
      <c r="U43" s="156"/>
      <c r="V43" s="157"/>
      <c r="W43" s="46" t="str">
        <f>IF(W44&gt;0,Vuota1,"x")</f>
        <v>x</v>
      </c>
      <c r="X43" s="63"/>
      <c r="Y43" s="312" t="s">
        <v>75</v>
      </c>
      <c r="Z43" s="158"/>
      <c r="AA43" s="158"/>
      <c r="AB43" s="158"/>
      <c r="AC43" s="2">
        <v>365</v>
      </c>
      <c r="AD43" s="20"/>
      <c r="AE43" s="20"/>
      <c r="AF43" s="62"/>
      <c r="AI43" s="315"/>
      <c r="AJ43" s="114">
        <v>1000000000</v>
      </c>
      <c r="AK43" s="77"/>
      <c r="AL43" s="130">
        <v>0</v>
      </c>
      <c r="AM43" s="124">
        <v>0</v>
      </c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</row>
    <row r="44" spans="1:59" ht="12.75">
      <c r="A44" s="67" t="s">
        <v>74</v>
      </c>
      <c r="B44" s="68"/>
      <c r="C44" s="68"/>
      <c r="D44" s="68"/>
      <c r="E44" s="68"/>
      <c r="F44" s="20"/>
      <c r="G44" s="2"/>
      <c r="H44" s="63"/>
      <c r="I44" s="63"/>
      <c r="J44" s="63"/>
      <c r="K44" s="158" t="s">
        <v>77</v>
      </c>
      <c r="L44" s="158"/>
      <c r="M44" s="158"/>
      <c r="N44" s="159"/>
      <c r="O44" s="39">
        <f>IF(E17&gt;0,ROUND(AE44/365*M43,0),0)</f>
        <v>0</v>
      </c>
      <c r="P44" s="62"/>
      <c r="Q44" s="67" t="s">
        <v>74</v>
      </c>
      <c r="R44" s="68"/>
      <c r="S44" s="68"/>
      <c r="T44" s="68"/>
      <c r="U44" s="68"/>
      <c r="V44" s="20"/>
      <c r="W44" s="2">
        <f>+G44</f>
        <v>0</v>
      </c>
      <c r="X44" s="63"/>
      <c r="Y44" s="63"/>
      <c r="Z44" s="63"/>
      <c r="AA44" s="158" t="s">
        <v>77</v>
      </c>
      <c r="AB44" s="158"/>
      <c r="AC44" s="158"/>
      <c r="AD44" s="159"/>
      <c r="AE44" s="39">
        <f>IF(Lordo&gt;0,IF(W44&gt;0,IF(Redd_Detraz&lt;8000.01,IF(AH44&gt;AH47,AH44,AH47),AH44),IF(Redd_Detraz&lt;8000.01,IF(AH44&gt;AH46,AH44,AH46),AH44)),0)</f>
        <v>0</v>
      </c>
      <c r="AF44" s="62"/>
      <c r="AH44" s="373">
        <f>IF(Redd_Detraz&gt;0,ROUND((VLOOKUP(Redd_Detraz,Altre_detraz,2)/365*AC43+VLOOKUP(Redd_Detraz,Aum_altre,2)),5),0)</f>
        <v>0</v>
      </c>
      <c r="AI44" s="315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</row>
    <row r="45" spans="1:59" ht="12.75" customHeight="1" thickBot="1">
      <c r="A45" s="6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70"/>
      <c r="Q45" s="69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70"/>
      <c r="AI45" s="315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</row>
    <row r="46" spans="1:59" ht="12.75" customHeight="1" thickBot="1">
      <c r="A46" s="220" t="s">
        <v>142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2"/>
      <c r="O46" s="228">
        <f>+E17-L18</f>
        <v>0</v>
      </c>
      <c r="P46" s="228"/>
      <c r="Q46" s="71" t="s">
        <v>20</v>
      </c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228">
        <f>+Reddito_imponibile_mensile+Gratif_Anno</f>
        <v>0</v>
      </c>
      <c r="AF46" s="228"/>
      <c r="AH46" s="106">
        <v>690</v>
      </c>
      <c r="AI46" s="315"/>
      <c r="AJ46" s="106">
        <v>0.001</v>
      </c>
      <c r="AK46" s="87"/>
      <c r="AL46" s="106">
        <f>VLOOKUP(Rapp,quin,2)</f>
        <v>0</v>
      </c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</row>
    <row r="47" spans="1:59" ht="12.75" customHeight="1" thickBot="1">
      <c r="A47" s="220" t="s">
        <v>143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2"/>
      <c r="O47" s="162">
        <f>ROUND(IreTab/12,5)</f>
        <v>0</v>
      </c>
      <c r="P47" s="162"/>
      <c r="Q47" s="35" t="s">
        <v>60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14">
        <f>IF(Lordo&gt;0,IF(Reddito_imponibile_mensile&gt;0,ROUND((Reddito_imponibile_mensile-VLOOKUP(Reddito_imponibile_mensile,Aliquote,1))*VLOOKUP(Reddito_imponibile_mensile,Aliquote,3),5)+VLOOKUP(Reddito_imponibile_mensile,Aliquote,4),0)+IF(Gratif_Anno&gt;0,ROUND(Gratif_Anno*VLOOKUP(ReddNetto,Aliquote,3),5),0),0)</f>
        <v>0</v>
      </c>
      <c r="AF47" s="314"/>
      <c r="AH47" s="106">
        <v>1380</v>
      </c>
      <c r="AI47" s="315"/>
      <c r="AJ47" s="106">
        <v>15000</v>
      </c>
      <c r="AK47" s="87"/>
      <c r="AL47" s="106">
        <f>+DetrRid</f>
        <v>690</v>
      </c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</row>
    <row r="48" spans="1:59" ht="13.5" thickBot="1">
      <c r="A48" s="220" t="s">
        <v>144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2"/>
      <c r="O48" s="162">
        <f>+M41+O44</f>
        <v>0</v>
      </c>
      <c r="P48" s="162"/>
      <c r="Q48" s="37" t="s">
        <v>36</v>
      </c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162">
        <f>+AC41+AE44</f>
        <v>0</v>
      </c>
      <c r="AF48" s="162"/>
      <c r="AI48" s="315"/>
      <c r="AJ48" s="106">
        <v>40000</v>
      </c>
      <c r="AK48" s="87"/>
      <c r="AL48" s="106">
        <f>VLOOKUP(Rap1,ottan,2)</f>
        <v>1380</v>
      </c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</row>
    <row r="49" spans="1:59" ht="16.5" thickBot="1">
      <c r="A49" s="296" t="s">
        <v>147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97"/>
      <c r="O49" s="326">
        <f>IF(O47-O48&gt;0,O47-O48,0)</f>
        <v>0</v>
      </c>
      <c r="P49" s="178"/>
      <c r="Q49" s="71" t="s">
        <v>61</v>
      </c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177">
        <f>+AE47-AE48</f>
        <v>0</v>
      </c>
      <c r="AF49" s="178"/>
      <c r="AI49" s="315"/>
      <c r="AJ49" s="106">
        <v>80000</v>
      </c>
      <c r="AK49" s="87"/>
      <c r="AL49" s="106">
        <v>0</v>
      </c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</row>
    <row r="50" spans="1:59" ht="16.5" thickBot="1">
      <c r="A50" s="190" t="s">
        <v>146</v>
      </c>
      <c r="B50" s="190"/>
      <c r="C50" s="190"/>
      <c r="D50" s="190"/>
      <c r="E50" s="191" t="str">
        <f>IF(E17&gt;0,VLOOKUP(ReddNetto,Aliquote,3),Vuota1)</f>
        <v>        </v>
      </c>
      <c r="F50" s="191"/>
      <c r="G50" s="152"/>
      <c r="H50" s="152"/>
      <c r="I50" s="152"/>
      <c r="J50" s="152"/>
      <c r="K50" s="323" t="s">
        <v>131</v>
      </c>
      <c r="L50" s="323"/>
      <c r="M50" s="323"/>
      <c r="N50" s="323"/>
      <c r="O50" s="324">
        <f>+O49</f>
        <v>0</v>
      </c>
      <c r="P50" s="325"/>
      <c r="Q50" s="72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73"/>
      <c r="AI50" s="315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</row>
    <row r="51" spans="17:59" ht="12.75">
      <c r="Q51" s="57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62"/>
      <c r="AI51" s="315"/>
      <c r="AJ51" s="137">
        <v>0</v>
      </c>
      <c r="AK51" s="138"/>
      <c r="AL51" s="115">
        <v>0</v>
      </c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</row>
    <row r="52" spans="17:59" ht="13.5">
      <c r="Q52" s="168" t="s">
        <v>21</v>
      </c>
      <c r="R52" s="169"/>
      <c r="S52" s="169"/>
      <c r="T52" s="153"/>
      <c r="U52" s="163" t="s">
        <v>22</v>
      </c>
      <c r="V52" s="154"/>
      <c r="W52" s="164"/>
      <c r="X52" s="163" t="s">
        <v>23</v>
      </c>
      <c r="Y52" s="154"/>
      <c r="Z52" s="164"/>
      <c r="AA52" s="163" t="s">
        <v>24</v>
      </c>
      <c r="AB52" s="164"/>
      <c r="AC52" s="52" t="s">
        <v>25</v>
      </c>
      <c r="AD52" s="163" t="s">
        <v>26</v>
      </c>
      <c r="AE52" s="164"/>
      <c r="AF52" s="62"/>
      <c r="AI52" s="315"/>
      <c r="AJ52" s="139">
        <v>29000.01</v>
      </c>
      <c r="AK52" s="140"/>
      <c r="AL52" s="116">
        <v>10</v>
      </c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</row>
    <row r="53" spans="17:59" ht="12.75">
      <c r="Q53" s="163" t="s">
        <v>27</v>
      </c>
      <c r="R53" s="154"/>
      <c r="S53" s="154"/>
      <c r="T53" s="164"/>
      <c r="U53" s="53"/>
      <c r="V53" s="2">
        <v>1.4</v>
      </c>
      <c r="W53" s="53"/>
      <c r="X53" s="175">
        <f>+ReddNetto</f>
        <v>0</v>
      </c>
      <c r="Y53" s="219"/>
      <c r="Z53" s="176"/>
      <c r="AA53" s="175">
        <f>ROUND(X53*V53%,2)</f>
        <v>0</v>
      </c>
      <c r="AB53" s="176"/>
      <c r="AC53" s="2">
        <v>10</v>
      </c>
      <c r="AD53" s="175">
        <f>ROUND(AA53/AC53,2)</f>
        <v>0</v>
      </c>
      <c r="AE53" s="176"/>
      <c r="AF53" s="62"/>
      <c r="AI53" s="315"/>
      <c r="AJ53" s="139">
        <v>29200.01</v>
      </c>
      <c r="AK53" s="140"/>
      <c r="AL53" s="116">
        <v>20</v>
      </c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</row>
    <row r="54" spans="17:59" ht="12.75">
      <c r="Q54" s="163" t="s">
        <v>28</v>
      </c>
      <c r="R54" s="154"/>
      <c r="S54" s="154"/>
      <c r="T54" s="164"/>
      <c r="U54" s="53"/>
      <c r="V54" s="2">
        <v>0.4</v>
      </c>
      <c r="W54" s="53"/>
      <c r="X54" s="175">
        <f>+ReddNetto</f>
        <v>0</v>
      </c>
      <c r="Y54" s="219"/>
      <c r="Z54" s="176"/>
      <c r="AA54" s="175">
        <f>ROUND(X54*V54%,2)</f>
        <v>0</v>
      </c>
      <c r="AB54" s="176"/>
      <c r="AC54" s="52" t="s">
        <v>25</v>
      </c>
      <c r="AD54" s="163" t="s">
        <v>26</v>
      </c>
      <c r="AE54" s="164"/>
      <c r="AF54" s="62"/>
      <c r="AI54" s="315"/>
      <c r="AJ54" s="139">
        <v>34700.01</v>
      </c>
      <c r="AK54" s="140"/>
      <c r="AL54" s="116">
        <v>30</v>
      </c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</row>
    <row r="55" spans="17:59" ht="12.75">
      <c r="Q55" s="282" t="s">
        <v>87</v>
      </c>
      <c r="R55" s="282"/>
      <c r="S55" s="84">
        <v>16</v>
      </c>
      <c r="T55" s="282" t="s">
        <v>88</v>
      </c>
      <c r="U55" s="282"/>
      <c r="V55" s="282"/>
      <c r="W55" s="282"/>
      <c r="X55" s="283" t="s">
        <v>89</v>
      </c>
      <c r="Y55" s="283"/>
      <c r="Z55" s="50" t="s">
        <v>79</v>
      </c>
      <c r="AA55" s="51"/>
      <c r="AB55" s="39">
        <f>ROUND(AA54*30%,2)</f>
        <v>0</v>
      </c>
      <c r="AC55" s="2">
        <v>10</v>
      </c>
      <c r="AD55" s="175">
        <f>ROUND(AB55/AC55,2)</f>
        <v>0</v>
      </c>
      <c r="AE55" s="176"/>
      <c r="AF55" s="62"/>
      <c r="AI55" s="315"/>
      <c r="AJ55" s="139">
        <v>35000.01</v>
      </c>
      <c r="AK55" s="140"/>
      <c r="AL55" s="116">
        <v>20</v>
      </c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</row>
    <row r="56" spans="17:59" ht="12.75">
      <c r="Q56" s="57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62"/>
      <c r="AI56" s="315"/>
      <c r="AJ56" s="139">
        <v>35100.01</v>
      </c>
      <c r="AK56" s="140"/>
      <c r="AL56" s="116">
        <v>10</v>
      </c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</row>
    <row r="57" spans="17:59" ht="12.75" customHeight="1" thickBot="1">
      <c r="Q57" s="57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62"/>
      <c r="AI57" s="315"/>
      <c r="AJ57" s="141">
        <v>35200.01</v>
      </c>
      <c r="AK57" s="142"/>
      <c r="AL57" s="117">
        <v>0</v>
      </c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</row>
    <row r="58" spans="17:59" ht="12.75">
      <c r="Q58" s="74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</row>
    <row r="59" spans="35:39" ht="12.75">
      <c r="AI59" t="s">
        <v>46</v>
      </c>
      <c r="AJ59" s="19" t="s">
        <v>47</v>
      </c>
      <c r="AK59" s="171" t="s">
        <v>52</v>
      </c>
      <c r="AL59" s="18" t="s">
        <v>48</v>
      </c>
      <c r="AM59" s="18" t="s">
        <v>53</v>
      </c>
    </row>
    <row r="60" spans="36:39" ht="12.75">
      <c r="AJ60" s="86">
        <v>95000</v>
      </c>
      <c r="AK60" s="171"/>
      <c r="AL60" s="106">
        <v>15000</v>
      </c>
      <c r="AM60" s="106">
        <f>IF(AK61&gt;1,ROUND((AK61-1)*AL60,2)+AJ60,AJ60)</f>
        <v>95000</v>
      </c>
    </row>
    <row r="61" spans="36:41" ht="12.75">
      <c r="AJ61" s="18" t="s">
        <v>55</v>
      </c>
      <c r="AK61" s="87">
        <f>+N_Fgl</f>
        <v>0</v>
      </c>
      <c r="AL61" s="18" t="s">
        <v>54</v>
      </c>
      <c r="AM61" s="18" t="s">
        <v>45</v>
      </c>
      <c r="AN61" s="18"/>
      <c r="AO61" s="18" t="s">
        <v>41</v>
      </c>
    </row>
    <row r="62" spans="35:44" ht="12.75">
      <c r="AI62" t="s">
        <v>51</v>
      </c>
      <c r="AJ62" s="106">
        <f>IF(Som_fg&gt;3,1000,800)</f>
        <v>800</v>
      </c>
      <c r="AL62" s="106">
        <f>ROUND(fgl*VLOOKUP($AO$62,IndRapp,2),2)</f>
        <v>0</v>
      </c>
      <c r="AM62" s="112">
        <v>0</v>
      </c>
      <c r="AN62" s="77">
        <v>0</v>
      </c>
      <c r="AO62" s="83">
        <f>ROUND((ImFisFin-Redd_Detraz)/ImFisFin,6)</f>
        <v>1</v>
      </c>
      <c r="AQ62" s="87">
        <f>+dsfig</f>
        <v>0</v>
      </c>
      <c r="AR62" s="87">
        <f>+AQ62</f>
        <v>0</v>
      </c>
    </row>
    <row r="63" spans="35:44" ht="12.75">
      <c r="AI63" t="s">
        <v>49</v>
      </c>
      <c r="AJ63" s="106">
        <f>IF(Som_fg&gt;3,1100,900)</f>
        <v>900</v>
      </c>
      <c r="AL63" s="106">
        <f>ROUND(AJ63*VLOOKUP($AO$62,IndRapp,2),2)</f>
        <v>0</v>
      </c>
      <c r="AM63" s="113">
        <v>0.0001</v>
      </c>
      <c r="AN63" s="77">
        <f>+AO62</f>
        <v>1</v>
      </c>
      <c r="AQ63" s="87">
        <f>+dsfg3</f>
        <v>0</v>
      </c>
      <c r="AR63" s="87">
        <f>+AQ63</f>
        <v>0</v>
      </c>
    </row>
    <row r="64" spans="35:44" ht="12.75">
      <c r="AI64" t="s">
        <v>50</v>
      </c>
      <c r="AJ64" s="106">
        <v>220</v>
      </c>
      <c r="AL64" s="106">
        <f>ROUND(fglh*VLOOKUP($AO$62,IndRapp,2),2)</f>
        <v>0</v>
      </c>
      <c r="AM64" s="110">
        <v>1</v>
      </c>
      <c r="AN64" s="77">
        <v>0</v>
      </c>
      <c r="AQ64" s="87">
        <f>+dsfhc</f>
        <v>0</v>
      </c>
      <c r="AR64" s="87">
        <f>+AQ64</f>
        <v>0</v>
      </c>
    </row>
    <row r="65" spans="38:40" ht="12.75">
      <c r="AL65" s="85"/>
      <c r="AM65" s="110">
        <v>10</v>
      </c>
      <c r="AN65" s="77">
        <f>+AO62</f>
        <v>1</v>
      </c>
    </row>
    <row r="66" spans="35:38" ht="12.75">
      <c r="AI66" t="s">
        <v>57</v>
      </c>
      <c r="AJ66" s="87">
        <v>750</v>
      </c>
      <c r="AL66" s="106">
        <f>ROUND(Altri*VLOOKUP(AO67,Rapp_Altri,2),4)</f>
        <v>0</v>
      </c>
    </row>
    <row r="67" ht="12.75">
      <c r="AO67" s="83">
        <f>TRUNC((80000-Redd_Detraz)/80000,6)</f>
        <v>1</v>
      </c>
    </row>
    <row r="68" spans="35:41" ht="12.75">
      <c r="AI68" t="s">
        <v>72</v>
      </c>
      <c r="AL68" t="s">
        <v>41</v>
      </c>
      <c r="AN68" s="131">
        <v>0</v>
      </c>
      <c r="AO68" s="87">
        <v>0</v>
      </c>
    </row>
    <row r="69" spans="35:41" ht="12.75">
      <c r="AI69" s="106">
        <v>1</v>
      </c>
      <c r="AJ69" s="106">
        <v>1840</v>
      </c>
      <c r="AL69" s="83">
        <f>IF(ROUND((15000-Redd_Detraz)/7000,6)&gt;0,ROUND((15000-Redd_Detraz)/7000,6),0)</f>
        <v>2.142857</v>
      </c>
      <c r="AN69" s="132">
        <v>0.0001</v>
      </c>
      <c r="AO69" s="133">
        <f>+AO67</f>
        <v>1</v>
      </c>
    </row>
    <row r="70" spans="35:41" ht="12.75">
      <c r="AI70" s="106">
        <v>8000.01</v>
      </c>
      <c r="AJ70" s="106">
        <f>1338+ROUND(502*AL69,2)</f>
        <v>2413.71</v>
      </c>
      <c r="AL70">
        <f>ROUND((55000-Redd_Detraz)/40000,6)</f>
        <v>1.375</v>
      </c>
      <c r="AN70" s="107">
        <v>1</v>
      </c>
      <c r="AO70" s="87">
        <v>0</v>
      </c>
    </row>
    <row r="71" spans="35:41" ht="12.75">
      <c r="AI71" s="106">
        <v>15000.01</v>
      </c>
      <c r="AJ71" s="106">
        <f>ROUND(1338*AL70,2)</f>
        <v>1839.75</v>
      </c>
      <c r="AN71" s="107">
        <v>10</v>
      </c>
      <c r="AO71" s="133">
        <f>+AO67</f>
        <v>1</v>
      </c>
    </row>
    <row r="72" spans="35:41" ht="12.75">
      <c r="AI72" s="106">
        <v>55000.01</v>
      </c>
      <c r="AJ72" s="106">
        <v>0</v>
      </c>
      <c r="AN72" s="12"/>
      <c r="AO72" s="83"/>
    </row>
    <row r="73" spans="35:36" ht="12.75">
      <c r="AI73" s="106">
        <v>100000000</v>
      </c>
      <c r="AJ73" s="106">
        <v>0</v>
      </c>
    </row>
    <row r="75" spans="35:36" ht="12.75">
      <c r="AI75" s="108">
        <v>0</v>
      </c>
      <c r="AJ75" s="87">
        <v>0</v>
      </c>
    </row>
    <row r="76" spans="35:36" ht="12.75">
      <c r="AI76" s="108">
        <v>23000.01</v>
      </c>
      <c r="AJ76" s="87">
        <v>10</v>
      </c>
    </row>
    <row r="77" spans="35:36" ht="12.75">
      <c r="AI77" s="108">
        <v>24000.01</v>
      </c>
      <c r="AJ77" s="87">
        <v>20</v>
      </c>
    </row>
    <row r="78" spans="35:36" ht="12.75">
      <c r="AI78" s="108">
        <v>25000.01</v>
      </c>
      <c r="AJ78" s="87">
        <v>30</v>
      </c>
    </row>
    <row r="79" spans="35:36" ht="12.75">
      <c r="AI79" s="108">
        <v>26000.01</v>
      </c>
      <c r="AJ79" s="87">
        <v>40</v>
      </c>
    </row>
    <row r="80" spans="35:36" ht="12.75">
      <c r="AI80" s="108">
        <v>27700.01</v>
      </c>
      <c r="AJ80" s="87">
        <v>25</v>
      </c>
    </row>
    <row r="81" spans="1:36" ht="12.75">
      <c r="A81" s="4"/>
      <c r="AI81" s="108">
        <v>28000.01</v>
      </c>
      <c r="AJ81" s="87">
        <v>0</v>
      </c>
    </row>
    <row r="111" ht="12.75">
      <c r="A111" s="4" t="s">
        <v>100</v>
      </c>
    </row>
    <row r="124" ht="12.75">
      <c r="A124" s="90"/>
    </row>
  </sheetData>
  <sheetProtection password="BE24" sheet="1" objects="1" scenarios="1" selectLockedCells="1"/>
  <mergeCells count="164">
    <mergeCell ref="A48:N48"/>
    <mergeCell ref="A49:N49"/>
    <mergeCell ref="A50:D50"/>
    <mergeCell ref="E50:F50"/>
    <mergeCell ref="K50:N50"/>
    <mergeCell ref="A47:N47"/>
    <mergeCell ref="Q16:T16"/>
    <mergeCell ref="U16:W16"/>
    <mergeCell ref="H17:K17"/>
    <mergeCell ref="H16:K16"/>
    <mergeCell ref="A16:D16"/>
    <mergeCell ref="E16:G16"/>
    <mergeCell ref="H18:K18"/>
    <mergeCell ref="A17:D17"/>
    <mergeCell ref="Q37:AB37"/>
    <mergeCell ref="AD5:AF5"/>
    <mergeCell ref="AU30:AW38"/>
    <mergeCell ref="A15:D15"/>
    <mergeCell ref="A14:D14"/>
    <mergeCell ref="U14:W14"/>
    <mergeCell ref="E17:G17"/>
    <mergeCell ref="A20:P20"/>
    <mergeCell ref="X16:AA16"/>
    <mergeCell ref="A21:C21"/>
    <mergeCell ref="AC16:AD16"/>
    <mergeCell ref="Z4:AA4"/>
    <mergeCell ref="V6:Z6"/>
    <mergeCell ref="AB6:AC6"/>
    <mergeCell ref="T6:U6"/>
    <mergeCell ref="X15:AA15"/>
    <mergeCell ref="U9:W9"/>
    <mergeCell ref="X7:AB7"/>
    <mergeCell ref="X9:AA9"/>
    <mergeCell ref="X10:AA10"/>
    <mergeCell ref="U8:W8"/>
    <mergeCell ref="X8:AA8"/>
    <mergeCell ref="AU1:AW2"/>
    <mergeCell ref="AU21:AW25"/>
    <mergeCell ref="AU4:AW4"/>
    <mergeCell ref="AU5:AW5"/>
    <mergeCell ref="AU3:AW3"/>
    <mergeCell ref="T55:W55"/>
    <mergeCell ref="X55:Y55"/>
    <mergeCell ref="X14:AA14"/>
    <mergeCell ref="U13:W13"/>
    <mergeCell ref="X13:AA13"/>
    <mergeCell ref="X17:AA17"/>
    <mergeCell ref="X54:Z54"/>
    <mergeCell ref="U17:W17"/>
    <mergeCell ref="Q41:AB41"/>
    <mergeCell ref="Q38:AB38"/>
    <mergeCell ref="Q33:S33"/>
    <mergeCell ref="Q21:S21"/>
    <mergeCell ref="Q43:V43"/>
    <mergeCell ref="Q39:AB39"/>
    <mergeCell ref="Q36:AF36"/>
    <mergeCell ref="AF25:AF27"/>
    <mergeCell ref="R24:T24"/>
    <mergeCell ref="U24:W24"/>
    <mergeCell ref="X24:Z24"/>
    <mergeCell ref="Q35:AF35"/>
    <mergeCell ref="AC25:AE27"/>
    <mergeCell ref="AA33:AE34"/>
    <mergeCell ref="AD52:AE52"/>
    <mergeCell ref="AE48:AF48"/>
    <mergeCell ref="AE46:AF46"/>
    <mergeCell ref="Y43:AB43"/>
    <mergeCell ref="AA44:AD44"/>
    <mergeCell ref="X52:Z52"/>
    <mergeCell ref="AD55:AE55"/>
    <mergeCell ref="AD54:AE54"/>
    <mergeCell ref="Q42:AF42"/>
    <mergeCell ref="Q52:T52"/>
    <mergeCell ref="AA53:AB53"/>
    <mergeCell ref="X53:Z53"/>
    <mergeCell ref="U52:W52"/>
    <mergeCell ref="Q53:T53"/>
    <mergeCell ref="Q54:T54"/>
    <mergeCell ref="Q55:R55"/>
    <mergeCell ref="Q3:AF3"/>
    <mergeCell ref="T5:Y5"/>
    <mergeCell ref="Z5:AB5"/>
    <mergeCell ref="AK59:AK60"/>
    <mergeCell ref="Q40:AF40"/>
    <mergeCell ref="AA54:AB54"/>
    <mergeCell ref="AE49:AF49"/>
    <mergeCell ref="AE47:AF47"/>
    <mergeCell ref="AA52:AB52"/>
    <mergeCell ref="AD53:AE53"/>
    <mergeCell ref="AH36:AH37"/>
    <mergeCell ref="AH40:AH41"/>
    <mergeCell ref="AI1:AL1"/>
    <mergeCell ref="AI12:AM12"/>
    <mergeCell ref="AI19:AI57"/>
    <mergeCell ref="AJ19:AJ37"/>
    <mergeCell ref="AJ39:AJ42"/>
    <mergeCell ref="Q1:AF1"/>
    <mergeCell ref="Q2:AF2"/>
    <mergeCell ref="AF33:AF34"/>
    <mergeCell ref="U15:W15"/>
    <mergeCell ref="Q7:W7"/>
    <mergeCell ref="Q6:S6"/>
    <mergeCell ref="Q20:AF20"/>
    <mergeCell ref="U10:W10"/>
    <mergeCell ref="U11:W11"/>
    <mergeCell ref="U12:W12"/>
    <mergeCell ref="N5:P5"/>
    <mergeCell ref="A1:P1"/>
    <mergeCell ref="A2:P2"/>
    <mergeCell ref="A3:P3"/>
    <mergeCell ref="J4:K4"/>
    <mergeCell ref="B4:G4"/>
    <mergeCell ref="E8:G8"/>
    <mergeCell ref="H8:K8"/>
    <mergeCell ref="D5:I5"/>
    <mergeCell ref="J5:L5"/>
    <mergeCell ref="C6:G6"/>
    <mergeCell ref="A7:G7"/>
    <mergeCell ref="H7:L7"/>
    <mergeCell ref="A6:B6"/>
    <mergeCell ref="I6:K6"/>
    <mergeCell ref="E13:G13"/>
    <mergeCell ref="E14:G14"/>
    <mergeCell ref="E15:G15"/>
    <mergeCell ref="H15:K15"/>
    <mergeCell ref="H14:K14"/>
    <mergeCell ref="H13:K13"/>
    <mergeCell ref="A33:C33"/>
    <mergeCell ref="K33:O34"/>
    <mergeCell ref="P33:P34"/>
    <mergeCell ref="M28:P29"/>
    <mergeCell ref="M25:O27"/>
    <mergeCell ref="B24:D24"/>
    <mergeCell ref="E24:G24"/>
    <mergeCell ref="P25:P27"/>
    <mergeCell ref="A43:F43"/>
    <mergeCell ref="I43:L43"/>
    <mergeCell ref="K44:N44"/>
    <mergeCell ref="O46:P46"/>
    <mergeCell ref="A46:N46"/>
    <mergeCell ref="M6:P6"/>
    <mergeCell ref="O47:P47"/>
    <mergeCell ref="A39:L39"/>
    <mergeCell ref="A40:P40"/>
    <mergeCell ref="A41:L41"/>
    <mergeCell ref="A42:P42"/>
    <mergeCell ref="A35:P35"/>
    <mergeCell ref="A36:P36"/>
    <mergeCell ref="E11:G11"/>
    <mergeCell ref="E12:G12"/>
    <mergeCell ref="E9:G9"/>
    <mergeCell ref="H9:K9"/>
    <mergeCell ref="E10:G10"/>
    <mergeCell ref="H10:K10"/>
    <mergeCell ref="O50:P50"/>
    <mergeCell ref="X12:AA12"/>
    <mergeCell ref="H11:K11"/>
    <mergeCell ref="X11:AA11"/>
    <mergeCell ref="O48:P48"/>
    <mergeCell ref="O49:P49"/>
    <mergeCell ref="A37:L37"/>
    <mergeCell ref="A38:L38"/>
    <mergeCell ref="H24:J24"/>
    <mergeCell ref="H12:K12"/>
  </mergeCells>
  <conditionalFormatting sqref="Z27">
    <cfRule type="expression" priority="1" dxfId="0" stopIfTrue="1">
      <formula>$T$23&gt;2</formula>
    </cfRule>
  </conditionalFormatting>
  <conditionalFormatting sqref="Z28">
    <cfRule type="expression" priority="2" dxfId="0" stopIfTrue="1">
      <formula>$T$23&gt;3</formula>
    </cfRule>
  </conditionalFormatting>
  <conditionalFormatting sqref="Z29">
    <cfRule type="expression" priority="3" dxfId="0" stopIfTrue="1">
      <formula>$T$23&gt;4</formula>
    </cfRule>
  </conditionalFormatting>
  <conditionalFormatting sqref="Z30">
    <cfRule type="expression" priority="4" dxfId="0" stopIfTrue="1">
      <formula>$T$23&gt;5</formula>
    </cfRule>
  </conditionalFormatting>
  <conditionalFormatting sqref="Z31">
    <cfRule type="expression" priority="5" dxfId="0" stopIfTrue="1">
      <formula>$T$23&gt;6</formula>
    </cfRule>
  </conditionalFormatting>
  <conditionalFormatting sqref="AB25">
    <cfRule type="expression" priority="6" dxfId="1" stopIfTrue="1">
      <formula>$T$23&gt;0</formula>
    </cfRule>
  </conditionalFormatting>
  <conditionalFormatting sqref="AB26">
    <cfRule type="expression" priority="7" dxfId="1" stopIfTrue="1">
      <formula>$T$23&gt;1</formula>
    </cfRule>
  </conditionalFormatting>
  <conditionalFormatting sqref="AB27">
    <cfRule type="expression" priority="8" dxfId="1" stopIfTrue="1">
      <formula>$T$23&gt;2</formula>
    </cfRule>
  </conditionalFormatting>
  <conditionalFormatting sqref="AB28">
    <cfRule type="expression" priority="9" dxfId="1" stopIfTrue="1">
      <formula>$T$23&gt;3</formula>
    </cfRule>
  </conditionalFormatting>
  <conditionalFormatting sqref="AB29">
    <cfRule type="expression" priority="10" dxfId="1" stopIfTrue="1">
      <formula>$T$23&gt;4</formula>
    </cfRule>
  </conditionalFormatting>
  <conditionalFormatting sqref="AB30">
    <cfRule type="expression" priority="11" dxfId="1" stopIfTrue="1">
      <formula>$T$23&gt;5</formula>
    </cfRule>
  </conditionalFormatting>
  <conditionalFormatting sqref="AB31">
    <cfRule type="expression" priority="12" dxfId="1" stopIfTrue="1">
      <formula>$T$23&gt;6</formula>
    </cfRule>
  </conditionalFormatting>
  <conditionalFormatting sqref="Q26">
    <cfRule type="expression" priority="13" dxfId="2" stopIfTrue="1">
      <formula>$T$23&gt;1</formula>
    </cfRule>
  </conditionalFormatting>
  <conditionalFormatting sqref="Q25 T25 W25 Z25 G25 D25">
    <cfRule type="expression" priority="14" dxfId="2" stopIfTrue="1">
      <formula>$T$23&gt;0</formula>
    </cfRule>
  </conditionalFormatting>
  <conditionalFormatting sqref="R25 J25:K25">
    <cfRule type="expression" priority="15" dxfId="3" stopIfTrue="1">
      <formula>$T$23&gt;0</formula>
    </cfRule>
  </conditionalFormatting>
  <conditionalFormatting sqref="U25 X25 E25 H25">
    <cfRule type="expression" priority="16" dxfId="4" stopIfTrue="1">
      <formula>$T$23&gt;0</formula>
    </cfRule>
  </conditionalFormatting>
  <conditionalFormatting sqref="Y21">
    <cfRule type="expression" priority="17" dxfId="5" stopIfTrue="1">
      <formula>$T$21="si"</formula>
    </cfRule>
  </conditionalFormatting>
  <conditionalFormatting sqref="AD23 AA25 C25 F25 I25 V25:V31 S25:S31 Y25:Y31">
    <cfRule type="expression" priority="18" dxfId="5" stopIfTrue="1">
      <formula>$T$23&gt;0</formula>
    </cfRule>
  </conditionalFormatting>
  <conditionalFormatting sqref="AF23">
    <cfRule type="expression" priority="19" dxfId="5" stopIfTrue="1">
      <formula>$AD$23&gt;0</formula>
    </cfRule>
  </conditionalFormatting>
  <conditionalFormatting sqref="F26 C26 I26 AA26">
    <cfRule type="expression" priority="20" dxfId="5" stopIfTrue="1">
      <formula>$T$23&gt;1</formula>
    </cfRule>
  </conditionalFormatting>
  <conditionalFormatting sqref="F27 C27 I27 AA27">
    <cfRule type="expression" priority="21" dxfId="5" stopIfTrue="1">
      <formula>$T$23&gt;2</formula>
    </cfRule>
  </conditionalFormatting>
  <conditionalFormatting sqref="F28 C28 I28 AA28">
    <cfRule type="expression" priority="22" dxfId="5" stopIfTrue="1">
      <formula>$T$23&gt;3</formula>
    </cfRule>
  </conditionalFormatting>
  <conditionalFormatting sqref="F29 C29 I29 AA29">
    <cfRule type="expression" priority="23" dxfId="5" stopIfTrue="1">
      <formula>$T$23&gt;4</formula>
    </cfRule>
  </conditionalFormatting>
  <conditionalFormatting sqref="AA30">
    <cfRule type="expression" priority="24" dxfId="5" stopIfTrue="1">
      <formula>$T$23&gt;5</formula>
    </cfRule>
  </conditionalFormatting>
  <conditionalFormatting sqref="AA31">
    <cfRule type="expression" priority="25" dxfId="5" stopIfTrue="1">
      <formula>$T$23&gt;6</formula>
    </cfRule>
  </conditionalFormatting>
  <conditionalFormatting sqref="Y34">
    <cfRule type="expression" priority="26" dxfId="5" stopIfTrue="1">
      <formula>$T$33="si"</formula>
    </cfRule>
  </conditionalFormatting>
  <conditionalFormatting sqref="Y33 AF33:AF34 P33:P34">
    <cfRule type="expression" priority="27" dxfId="5" stopIfTrue="1">
      <formula>$T$33&gt;0</formula>
    </cfRule>
  </conditionalFormatting>
  <conditionalFormatting sqref="AA33:AE34 K33:O34">
    <cfRule type="expression" priority="28" dxfId="1" stopIfTrue="1">
      <formula>$T$33&gt;0</formula>
    </cfRule>
  </conditionalFormatting>
  <conditionalFormatting sqref="R26 T26:U26 W26:X26 Z26 G26:H26 D26:E26 J26:K26">
    <cfRule type="expression" priority="29" dxfId="3" stopIfTrue="1">
      <formula>$T$23&gt;1</formula>
    </cfRule>
  </conditionalFormatting>
  <conditionalFormatting sqref="R27 T27:U27 W27:X27 G27:H27 D27:E27 J27:K27">
    <cfRule type="expression" priority="30" dxfId="3" stopIfTrue="1">
      <formula>$T$23&gt;2</formula>
    </cfRule>
  </conditionalFormatting>
  <conditionalFormatting sqref="Q27">
    <cfRule type="expression" priority="31" dxfId="2" stopIfTrue="1">
      <formula>$T$23&gt;2</formula>
    </cfRule>
  </conditionalFormatting>
  <conditionalFormatting sqref="Q28">
    <cfRule type="expression" priority="32" dxfId="2" stopIfTrue="1">
      <formula>$T$23&gt;3</formula>
    </cfRule>
  </conditionalFormatting>
  <conditionalFormatting sqref="R28 T28:U28 W28:X28 G28:H28 D28:E28 J28:K28">
    <cfRule type="expression" priority="33" dxfId="3" stopIfTrue="1">
      <formula>$T$23&gt;3</formula>
    </cfRule>
  </conditionalFormatting>
  <conditionalFormatting sqref="Q29">
    <cfRule type="expression" priority="34" dxfId="2" stopIfTrue="1">
      <formula>$T$23&gt;4</formula>
    </cfRule>
  </conditionalFormatting>
  <conditionalFormatting sqref="R29 T29:U29 W29:X29 G29:H29 D29:E29 J29:K29">
    <cfRule type="expression" priority="35" dxfId="3" stopIfTrue="1">
      <formula>$T$23&gt;4</formula>
    </cfRule>
  </conditionalFormatting>
  <conditionalFormatting sqref="Q30">
    <cfRule type="expression" priority="36" dxfId="2" stopIfTrue="1">
      <formula>$T$23&gt;5</formula>
    </cfRule>
  </conditionalFormatting>
  <conditionalFormatting sqref="R30 T30:U30 W30:X30">
    <cfRule type="expression" priority="37" dxfId="3" stopIfTrue="1">
      <formula>$T$23&gt;5</formula>
    </cfRule>
  </conditionalFormatting>
  <conditionalFormatting sqref="Q31">
    <cfRule type="expression" priority="38" dxfId="2" stopIfTrue="1">
      <formula>$T$23&gt;6</formula>
    </cfRule>
  </conditionalFormatting>
  <conditionalFormatting sqref="R31 T31:U31 W31:X31">
    <cfRule type="expression" priority="39" dxfId="3" stopIfTrue="1">
      <formula>$T$23&gt;6</formula>
    </cfRule>
  </conditionalFormatting>
  <conditionalFormatting sqref="L25">
    <cfRule type="expression" priority="40" dxfId="1" stopIfTrue="1">
      <formula>$D$23&gt;0</formula>
    </cfRule>
  </conditionalFormatting>
  <conditionalFormatting sqref="N23">
    <cfRule type="expression" priority="41" dxfId="5" stopIfTrue="1">
      <formula>$D$23&gt;0</formula>
    </cfRule>
  </conditionalFormatting>
  <conditionalFormatting sqref="C30 F30 I30">
    <cfRule type="expression" priority="42" dxfId="5" stopIfTrue="1">
      <formula>$D$23&gt;5</formula>
    </cfRule>
  </conditionalFormatting>
  <conditionalFormatting sqref="C31 F31 I31">
    <cfRule type="expression" priority="43" dxfId="5" stopIfTrue="1">
      <formula>$D$23&gt;6</formula>
    </cfRule>
  </conditionalFormatting>
  <conditionalFormatting sqref="I34">
    <cfRule type="expression" priority="44" dxfId="5" stopIfTrue="1">
      <formula>$D$33="si"</formula>
    </cfRule>
  </conditionalFormatting>
  <conditionalFormatting sqref="A30">
    <cfRule type="expression" priority="45" dxfId="2" stopIfTrue="1">
      <formula>$D$23&gt;5</formula>
    </cfRule>
  </conditionalFormatting>
  <conditionalFormatting sqref="G30:H30 D30:E30 B30 J30:K30">
    <cfRule type="expression" priority="46" dxfId="3" stopIfTrue="1">
      <formula>$D$23&gt;5</formula>
    </cfRule>
  </conditionalFormatting>
  <conditionalFormatting sqref="A31">
    <cfRule type="expression" priority="47" dxfId="2" stopIfTrue="1">
      <formula>$D$23&gt;6</formula>
    </cfRule>
  </conditionalFormatting>
  <conditionalFormatting sqref="G31:H31 D31:E31 B31 J31:K31">
    <cfRule type="expression" priority="48" dxfId="3" stopIfTrue="1">
      <formula>$D$23&gt;6</formula>
    </cfRule>
  </conditionalFormatting>
  <conditionalFormatting sqref="A26">
    <cfRule type="expression" priority="49" dxfId="2" stopIfTrue="1">
      <formula>$D$23&gt;1</formula>
    </cfRule>
  </conditionalFormatting>
  <conditionalFormatting sqref="A25">
    <cfRule type="expression" priority="50" dxfId="2" stopIfTrue="1">
      <formula>$D$23&gt;0</formula>
    </cfRule>
  </conditionalFormatting>
  <conditionalFormatting sqref="B25">
    <cfRule type="expression" priority="51" dxfId="3" stopIfTrue="1">
      <formula>$D$23&gt;0</formula>
    </cfRule>
  </conditionalFormatting>
  <conditionalFormatting sqref="B26">
    <cfRule type="expression" priority="52" dxfId="3" stopIfTrue="1">
      <formula>$D$23&gt;1</formula>
    </cfRule>
  </conditionalFormatting>
  <conditionalFormatting sqref="B27">
    <cfRule type="expression" priority="53" dxfId="3" stopIfTrue="1">
      <formula>$D$23&gt;2</formula>
    </cfRule>
  </conditionalFormatting>
  <conditionalFormatting sqref="A27">
    <cfRule type="expression" priority="54" dxfId="2" stopIfTrue="1">
      <formula>$D$23&gt;2</formula>
    </cfRule>
  </conditionalFormatting>
  <conditionalFormatting sqref="A28">
    <cfRule type="expression" priority="55" dxfId="2" stopIfTrue="1">
      <formula>$D$23&gt;3</formula>
    </cfRule>
  </conditionalFormatting>
  <conditionalFormatting sqref="B28">
    <cfRule type="expression" priority="56" dxfId="3" stopIfTrue="1">
      <formula>$D$23&gt;3</formula>
    </cfRule>
  </conditionalFormatting>
  <conditionalFormatting sqref="A29">
    <cfRule type="expression" priority="57" dxfId="2" stopIfTrue="1">
      <formula>$D$23&gt;4</formula>
    </cfRule>
  </conditionalFormatting>
  <conditionalFormatting sqref="B29">
    <cfRule type="expression" priority="58" dxfId="3" stopIfTrue="1">
      <formula>$D$23&gt;4</formula>
    </cfRule>
  </conditionalFormatting>
  <conditionalFormatting sqref="L27">
    <cfRule type="expression" priority="59" dxfId="1" stopIfTrue="1">
      <formula>$D$23&gt;2</formula>
    </cfRule>
  </conditionalFormatting>
  <conditionalFormatting sqref="L28">
    <cfRule type="expression" priority="60" dxfId="1" stopIfTrue="1">
      <formula>$D$23&gt;3</formula>
    </cfRule>
  </conditionalFormatting>
  <conditionalFormatting sqref="L29">
    <cfRule type="expression" priority="61" dxfId="1" stopIfTrue="1">
      <formula>$D$23&gt;4</formula>
    </cfRule>
  </conditionalFormatting>
  <conditionalFormatting sqref="L30">
    <cfRule type="expression" priority="62" dxfId="1" stopIfTrue="1">
      <formula>$D$23&gt;5</formula>
    </cfRule>
  </conditionalFormatting>
  <conditionalFormatting sqref="L31">
    <cfRule type="expression" priority="63" dxfId="1" stopIfTrue="1">
      <formula>$D$23&gt;6</formula>
    </cfRule>
  </conditionalFormatting>
  <conditionalFormatting sqref="L26">
    <cfRule type="expression" priority="64" dxfId="1" stopIfTrue="1">
      <formula>$D$23&gt;1</formula>
    </cfRule>
  </conditionalFormatting>
  <printOptions/>
  <pageMargins left="0.1968503937007874" right="0" top="0.984251968503937" bottom="0.5905511811023623" header="0.5118110236220472" footer="0.5118110236220472"/>
  <pageSetup blackAndWhite="1" horizontalDpi="360" verticalDpi="360" orientation="portrait" paperSize="9" scale="90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30"/>
  <dimension ref="A1:BG124"/>
  <sheetViews>
    <sheetView workbookViewId="0" topLeftCell="A1">
      <selection activeCell="E8" sqref="E8:G8"/>
    </sheetView>
  </sheetViews>
  <sheetFormatPr defaultColWidth="9.33203125" defaultRowHeight="12.75"/>
  <cols>
    <col min="1" max="1" width="15.5" style="0" customWidth="1"/>
    <col min="2" max="10" width="4.83203125" style="0" customWidth="1"/>
    <col min="11" max="11" width="11.66015625" style="0" bestFit="1" customWidth="1"/>
    <col min="12" max="13" width="11.83203125" style="0" customWidth="1"/>
    <col min="14" max="14" width="4.83203125" style="0" customWidth="1"/>
    <col min="15" max="15" width="12.83203125" style="0" customWidth="1"/>
    <col min="16" max="16" width="9.16015625" style="0" customWidth="1"/>
    <col min="17" max="17" width="15.5" style="0" hidden="1" customWidth="1"/>
    <col min="18" max="26" width="4.83203125" style="0" hidden="1" customWidth="1"/>
    <col min="27" max="27" width="11.66015625" style="0" hidden="1" customWidth="1"/>
    <col min="28" max="29" width="11.83203125" style="0" hidden="1" customWidth="1"/>
    <col min="30" max="30" width="4.83203125" style="0" hidden="1" customWidth="1"/>
    <col min="31" max="31" width="12.83203125" style="0" hidden="1" customWidth="1"/>
    <col min="32" max="32" width="11" style="0" hidden="1" customWidth="1"/>
    <col min="33" max="33" width="5.16015625" style="0" hidden="1" customWidth="1"/>
    <col min="34" max="34" width="10.5" style="0" hidden="1" customWidth="1"/>
    <col min="35" max="35" width="15.16015625" style="0" hidden="1" customWidth="1"/>
    <col min="36" max="36" width="16.83203125" style="0" hidden="1" customWidth="1"/>
    <col min="37" max="37" width="6.66015625" style="0" hidden="1" customWidth="1"/>
    <col min="38" max="38" width="12.83203125" style="0" hidden="1" customWidth="1"/>
    <col min="39" max="39" width="11.5" style="0" hidden="1" customWidth="1"/>
    <col min="40" max="45" width="0" style="0" hidden="1" customWidth="1"/>
    <col min="46" max="46" width="3.66015625" style="0" customWidth="1"/>
    <col min="49" max="49" width="13.66015625" style="0" customWidth="1"/>
  </cols>
  <sheetData>
    <row r="1" spans="1:59" ht="16.5" thickTop="1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3"/>
      <c r="Q1" s="201" t="s">
        <v>0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3"/>
      <c r="AI1" s="185" t="s">
        <v>29</v>
      </c>
      <c r="AJ1" s="185"/>
      <c r="AK1" s="185"/>
      <c r="AL1" s="185"/>
      <c r="AM1" s="135" t="s">
        <v>68</v>
      </c>
      <c r="AT1" s="77"/>
      <c r="AU1" s="247" t="s">
        <v>84</v>
      </c>
      <c r="AV1" s="248"/>
      <c r="AW1" s="249"/>
      <c r="AX1" s="77"/>
      <c r="AY1" s="77"/>
      <c r="AZ1" s="77"/>
      <c r="BA1" s="77"/>
      <c r="BB1" s="77"/>
      <c r="BC1" s="77"/>
      <c r="BD1" s="77"/>
      <c r="BE1" s="77"/>
      <c r="BF1" s="77"/>
      <c r="BG1" s="77"/>
    </row>
    <row r="2" spans="1:59" ht="15.75">
      <c r="A2" s="350" t="str">
        <f>+Gen!A2</f>
        <v>TRIBUNALE DI TERMINI IMERESE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2"/>
      <c r="Q2" s="204" t="s">
        <v>1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6"/>
      <c r="AI2" s="5" t="s">
        <v>30</v>
      </c>
      <c r="AJ2" s="5" t="s">
        <v>31</v>
      </c>
      <c r="AK2" s="6" t="s">
        <v>18</v>
      </c>
      <c r="AL2" s="5" t="s">
        <v>37</v>
      </c>
      <c r="AN2" s="134"/>
      <c r="AT2" s="77"/>
      <c r="AU2" s="250"/>
      <c r="AV2" s="251"/>
      <c r="AW2" s="252"/>
      <c r="AX2" s="77"/>
      <c r="AY2" s="77"/>
      <c r="AZ2" s="77"/>
      <c r="BA2" s="77"/>
      <c r="BB2" s="77"/>
      <c r="BC2" s="77"/>
      <c r="BD2" s="77"/>
      <c r="BE2" s="77"/>
      <c r="BF2" s="77"/>
      <c r="BG2" s="77"/>
    </row>
    <row r="3" spans="1:59" ht="15.75">
      <c r="A3" s="207" t="s">
        <v>110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9"/>
      <c r="Q3" s="207" t="s">
        <v>85</v>
      </c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9"/>
      <c r="AI3" s="7">
        <v>1</v>
      </c>
      <c r="AJ3" s="7">
        <f>+Aliquote!C6</f>
        <v>15000</v>
      </c>
      <c r="AK3" s="8">
        <f>+Aliquote!D6</f>
        <v>0.23</v>
      </c>
      <c r="AL3" s="9"/>
      <c r="AT3" s="77"/>
      <c r="AU3" s="268"/>
      <c r="AV3" s="269"/>
      <c r="AW3" s="270"/>
      <c r="AX3" s="77"/>
      <c r="AY3" s="77"/>
      <c r="AZ3" s="77"/>
      <c r="BA3" s="77"/>
      <c r="BB3" s="77"/>
      <c r="BC3" s="77"/>
      <c r="BD3" s="77"/>
      <c r="BE3" s="77"/>
      <c r="BF3" s="77"/>
      <c r="BG3" s="77"/>
    </row>
    <row r="4" spans="1:59" ht="12.75" customHeight="1">
      <c r="A4" s="150" t="s">
        <v>138</v>
      </c>
      <c r="B4" s="163" t="str">
        <f>IF(Gen!B4&gt;0,Gen!B4,Vuota1)</f>
        <v>        </v>
      </c>
      <c r="C4" s="154"/>
      <c r="D4" s="154"/>
      <c r="E4" s="154"/>
      <c r="F4" s="154"/>
      <c r="G4" s="164"/>
      <c r="H4" s="58"/>
      <c r="I4" s="58"/>
      <c r="J4" s="345" t="s">
        <v>127</v>
      </c>
      <c r="K4" s="346"/>
      <c r="L4" s="149">
        <f>IF(Gen!L4&gt;0,Gen!L4,Vuota1)</f>
        <v>2007</v>
      </c>
      <c r="M4" s="20"/>
      <c r="N4" s="58"/>
      <c r="O4" s="58"/>
      <c r="P4" s="33"/>
      <c r="Q4" s="20"/>
      <c r="R4" s="58"/>
      <c r="S4" s="58"/>
      <c r="T4" s="58"/>
      <c r="U4" s="58"/>
      <c r="V4" s="58"/>
      <c r="W4" s="58"/>
      <c r="X4" s="58"/>
      <c r="Y4" s="58"/>
      <c r="Z4" s="213" t="s">
        <v>2</v>
      </c>
      <c r="AA4" s="213"/>
      <c r="AB4" s="2">
        <v>2007</v>
      </c>
      <c r="AC4" s="20"/>
      <c r="AD4" s="58"/>
      <c r="AE4" s="58"/>
      <c r="AF4" s="33"/>
      <c r="AI4" s="7">
        <f>+AJ3+0.01</f>
        <v>15000.01</v>
      </c>
      <c r="AJ4" s="7">
        <f>+Aliquote!C7</f>
        <v>28000</v>
      </c>
      <c r="AK4" s="8">
        <f>+Aliquote!D7</f>
        <v>0.27</v>
      </c>
      <c r="AL4" s="7">
        <f>ROUND(AI4*AK3,2)</f>
        <v>3450</v>
      </c>
      <c r="AT4" s="77"/>
      <c r="AU4" s="262" t="s">
        <v>81</v>
      </c>
      <c r="AV4" s="263"/>
      <c r="AW4" s="264"/>
      <c r="AX4" s="77"/>
      <c r="AY4" s="77"/>
      <c r="AZ4" s="77"/>
      <c r="BA4" s="77"/>
      <c r="BB4" s="77"/>
      <c r="BC4" s="77"/>
      <c r="BD4" s="77"/>
      <c r="BE4" s="77"/>
      <c r="BF4" s="77"/>
      <c r="BG4" s="77"/>
    </row>
    <row r="5" spans="1:59" ht="16.5" thickBot="1">
      <c r="A5" s="59" t="s">
        <v>3</v>
      </c>
      <c r="B5" s="60"/>
      <c r="C5" s="52" t="str">
        <f>IF(Gen!C5&gt;0,Gen!C5,Vuota1)</f>
        <v>C1</v>
      </c>
      <c r="D5" s="347" t="str">
        <f>IF(Gen!D5&gt;0,Gen!D5,Vuota1)</f>
        <v>        </v>
      </c>
      <c r="E5" s="348" t="e">
        <f>IF(#REF!&gt;0,#REF!,Vuota1)</f>
        <v>#REF!</v>
      </c>
      <c r="F5" s="348" t="e">
        <f>IF(#REF!&gt;0,#REF!,Vuota1)</f>
        <v>#REF!</v>
      </c>
      <c r="G5" s="348" t="e">
        <f>IF(#REF!&gt;0,#REF!,Vuota1)</f>
        <v>#REF!</v>
      </c>
      <c r="H5" s="348" t="e">
        <f>IF(#REF!&gt;0,#REF!,Vuota1)</f>
        <v>#REF!</v>
      </c>
      <c r="I5" s="348" t="e">
        <f>IF(#REF!&gt;0,#REF!,Vuota1)</f>
        <v>#REF!</v>
      </c>
      <c r="J5" s="348" t="str">
        <f>IF(Gen!J5&gt;0,Gen!J5,Vuota1)</f>
        <v>        </v>
      </c>
      <c r="K5" s="348" t="e">
        <f>IF(#REF!&gt;0,#REF!,Vuota1)</f>
        <v>#REF!</v>
      </c>
      <c r="L5" s="349" t="e">
        <f>IF(#REF!&gt;0,#REF!,Vuota1)</f>
        <v>#REF!</v>
      </c>
      <c r="M5" s="61" t="s">
        <v>5</v>
      </c>
      <c r="N5" s="163" t="str">
        <f>IF(Gen!N5&gt;0,Gen!N5,Vuota1)</f>
        <v>        </v>
      </c>
      <c r="O5" s="154" t="e">
        <f>IF(#REF!&gt;0,#REF!,Vuota1)</f>
        <v>#REF!</v>
      </c>
      <c r="P5" s="164" t="e">
        <f>IF(#REF!&gt;0,#REF!,Vuota1)</f>
        <v>#REF!</v>
      </c>
      <c r="Q5" s="59" t="s">
        <v>3</v>
      </c>
      <c r="R5" s="60"/>
      <c r="S5" s="2" t="s">
        <v>4</v>
      </c>
      <c r="T5" s="211"/>
      <c r="U5" s="211"/>
      <c r="V5" s="211"/>
      <c r="W5" s="211"/>
      <c r="X5" s="211"/>
      <c r="Y5" s="211"/>
      <c r="Z5" s="211"/>
      <c r="AA5" s="211"/>
      <c r="AB5" s="313"/>
      <c r="AC5" s="61" t="s">
        <v>5</v>
      </c>
      <c r="AD5" s="214"/>
      <c r="AE5" s="215"/>
      <c r="AF5" s="216"/>
      <c r="AH5" s="21"/>
      <c r="AI5" s="7">
        <f>+AJ4+0.01</f>
        <v>28000.01</v>
      </c>
      <c r="AJ5" s="7">
        <f>+Aliquote!C8</f>
        <v>55000</v>
      </c>
      <c r="AK5" s="8">
        <f>+Aliquote!D8</f>
        <v>0.38</v>
      </c>
      <c r="AL5" s="7">
        <f>ROUND((AI5-AI4)*AK4,2)+AL4</f>
        <v>6960</v>
      </c>
      <c r="AT5" s="77"/>
      <c r="AU5" s="265" t="s">
        <v>82</v>
      </c>
      <c r="AV5" s="266"/>
      <c r="AW5" s="267"/>
      <c r="AX5" s="77"/>
      <c r="AY5" s="77"/>
      <c r="AZ5" s="77"/>
      <c r="BA5" s="77"/>
      <c r="BB5" s="77"/>
      <c r="BC5" s="77"/>
      <c r="BD5" s="77"/>
      <c r="BE5" s="77"/>
      <c r="BF5" s="77"/>
      <c r="BG5" s="77"/>
    </row>
    <row r="6" spans="1:59" ht="12.75" customHeight="1" thickTop="1">
      <c r="A6" s="271" t="s">
        <v>6</v>
      </c>
      <c r="B6" s="272"/>
      <c r="C6" s="163" t="str">
        <f>IF(Gen!C6&gt;0,Gen!C6,Vuota1)</f>
        <v>        </v>
      </c>
      <c r="D6" s="213" t="e">
        <f>IF(#REF!&gt;0,#REF!,Vuota1)</f>
        <v>#REF!</v>
      </c>
      <c r="E6" s="213" t="e">
        <f>IF(#REF!&gt;0,#REF!,Vuota1)</f>
        <v>#REF!</v>
      </c>
      <c r="F6" s="213" t="e">
        <f>IF(#REF!&gt;0,#REF!,Vuota1)</f>
        <v>#REF!</v>
      </c>
      <c r="G6" s="359" t="e">
        <f>IF(#REF!&gt;0,#REF!,Vuota1)</f>
        <v>#REF!</v>
      </c>
      <c r="H6" s="60" t="s">
        <v>7</v>
      </c>
      <c r="I6" s="353" t="str">
        <f>IF(Gen!I6&gt;0,Gen!I6,Vuota1)</f>
        <v>        </v>
      </c>
      <c r="J6" s="354" t="e">
        <f>IF(#REF!&gt;0,#REF!,Vuota1)</f>
        <v>#REF!</v>
      </c>
      <c r="K6" s="355" t="e">
        <f>IF(#REF!&gt;0,#REF!,Vuota1)</f>
        <v>#REF!</v>
      </c>
      <c r="L6" s="48" t="s">
        <v>90</v>
      </c>
      <c r="M6" s="356" t="str">
        <f>IF(Gen!M6&gt;0,Gen!M6,Vuota1)</f>
        <v>        </v>
      </c>
      <c r="N6" s="357" t="e">
        <f>IF(#REF!&gt;0,#REF!,Vuota1)</f>
        <v>#REF!</v>
      </c>
      <c r="O6" s="357" t="e">
        <f>IF(#REF!&gt;0,#REF!,Vuota1)</f>
        <v>#REF!</v>
      </c>
      <c r="P6" s="358" t="e">
        <f>IF(#REF!&gt;0,#REF!,Vuota1)</f>
        <v>#REF!</v>
      </c>
      <c r="Q6" s="317"/>
      <c r="R6" s="318"/>
      <c r="S6" s="318"/>
      <c r="T6" s="302" t="s">
        <v>6</v>
      </c>
      <c r="U6" s="302"/>
      <c r="V6" s="214"/>
      <c r="W6" s="215"/>
      <c r="X6" s="215"/>
      <c r="Y6" s="215"/>
      <c r="Z6" s="216"/>
      <c r="AA6" s="60" t="s">
        <v>7</v>
      </c>
      <c r="AB6" s="300"/>
      <c r="AC6" s="301"/>
      <c r="AD6" s="20"/>
      <c r="AE6" s="20"/>
      <c r="AF6" s="62"/>
      <c r="AH6" s="21"/>
      <c r="AI6" s="7">
        <f>+AJ5+0.01</f>
        <v>55000.01</v>
      </c>
      <c r="AJ6" s="7">
        <f>+Aliquote!C9</f>
        <v>75000</v>
      </c>
      <c r="AK6" s="8">
        <f>+Aliquote!D9</f>
        <v>0.41</v>
      </c>
      <c r="AL6" s="7">
        <f>ROUND((AI6-AI5)*AK5,2)+AL5</f>
        <v>17220</v>
      </c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</row>
    <row r="7" spans="1:59" ht="12.75" customHeight="1">
      <c r="A7" s="239" t="s">
        <v>8</v>
      </c>
      <c r="B7" s="240"/>
      <c r="C7" s="240"/>
      <c r="D7" s="240"/>
      <c r="E7" s="240"/>
      <c r="F7" s="240"/>
      <c r="G7" s="240"/>
      <c r="H7" s="158" t="s">
        <v>9</v>
      </c>
      <c r="I7" s="158"/>
      <c r="J7" s="158"/>
      <c r="K7" s="158"/>
      <c r="L7" s="158"/>
      <c r="M7" s="20"/>
      <c r="N7" s="20"/>
      <c r="O7" s="20"/>
      <c r="P7" s="62"/>
      <c r="Q7" s="239" t="s">
        <v>8</v>
      </c>
      <c r="R7" s="240"/>
      <c r="S7" s="240"/>
      <c r="T7" s="240"/>
      <c r="U7" s="240"/>
      <c r="V7" s="240"/>
      <c r="W7" s="240"/>
      <c r="X7" s="158" t="s">
        <v>9</v>
      </c>
      <c r="Y7" s="158"/>
      <c r="Z7" s="158"/>
      <c r="AA7" s="158"/>
      <c r="AB7" s="158"/>
      <c r="AC7" s="20"/>
      <c r="AD7" s="20"/>
      <c r="AE7" s="20"/>
      <c r="AF7" s="62"/>
      <c r="AH7" s="21"/>
      <c r="AI7" s="7">
        <f>+AJ6+0.01</f>
        <v>75000.01</v>
      </c>
      <c r="AJ7" s="7">
        <v>1000000</v>
      </c>
      <c r="AK7" s="8">
        <f>+Aliquote!D10</f>
        <v>0.43</v>
      </c>
      <c r="AL7" s="7">
        <f>ROUND((AI7-AI6)*AK6,2)+AL6</f>
        <v>25420</v>
      </c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</row>
    <row r="8" spans="1:59" ht="12.75">
      <c r="A8" s="27" t="s">
        <v>78</v>
      </c>
      <c r="B8" s="29"/>
      <c r="C8" s="29"/>
      <c r="D8" s="23"/>
      <c r="E8" s="195"/>
      <c r="F8" s="196"/>
      <c r="G8" s="197"/>
      <c r="H8" s="273" t="s">
        <v>10</v>
      </c>
      <c r="I8" s="274"/>
      <c r="J8" s="274"/>
      <c r="K8" s="275"/>
      <c r="L8" s="1"/>
      <c r="M8" s="20"/>
      <c r="N8" s="20"/>
      <c r="O8" s="20"/>
      <c r="P8" s="62"/>
      <c r="Q8" s="27" t="s">
        <v>78</v>
      </c>
      <c r="R8" s="29"/>
      <c r="S8" s="29"/>
      <c r="T8" s="23"/>
      <c r="U8" s="195">
        <f aca="true" t="shared" si="0" ref="U8:U15">ROUND(E8*13,5)</f>
        <v>0</v>
      </c>
      <c r="V8" s="196"/>
      <c r="W8" s="197"/>
      <c r="X8" s="273" t="s">
        <v>10</v>
      </c>
      <c r="Y8" s="274"/>
      <c r="Z8" s="274"/>
      <c r="AA8" s="275"/>
      <c r="AB8" s="1">
        <f aca="true" t="shared" si="1" ref="AB8:AB17">ROUND(L8*13,5)</f>
        <v>0</v>
      </c>
      <c r="AC8" s="20"/>
      <c r="AD8" s="20"/>
      <c r="AE8" s="20"/>
      <c r="AF8" s="62"/>
      <c r="AH8" s="21"/>
      <c r="AI8" s="7">
        <f>+AJ7+0.01</f>
        <v>1000000.01</v>
      </c>
      <c r="AJ8" s="10">
        <v>2000000</v>
      </c>
      <c r="AK8" s="11">
        <f>+AK7</f>
        <v>0.43</v>
      </c>
      <c r="AL8" s="10">
        <f>ROUND((AI8-AI7)*AK7,2)+AL7</f>
        <v>423170</v>
      </c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</row>
    <row r="9" spans="1:59" ht="12.75">
      <c r="A9" s="27" t="s">
        <v>11</v>
      </c>
      <c r="B9" s="29"/>
      <c r="C9" s="29"/>
      <c r="D9" s="23"/>
      <c r="E9" s="195"/>
      <c r="F9" s="196"/>
      <c r="G9" s="197"/>
      <c r="H9" s="198" t="s">
        <v>111</v>
      </c>
      <c r="I9" s="199"/>
      <c r="J9" s="199"/>
      <c r="K9" s="200"/>
      <c r="L9" s="1"/>
      <c r="M9" s="20"/>
      <c r="N9" s="20"/>
      <c r="O9" s="20"/>
      <c r="P9" s="62"/>
      <c r="Q9" s="27" t="s">
        <v>11</v>
      </c>
      <c r="R9" s="29"/>
      <c r="S9" s="29"/>
      <c r="T9" s="23"/>
      <c r="U9" s="195">
        <f t="shared" si="0"/>
        <v>0</v>
      </c>
      <c r="V9" s="196"/>
      <c r="W9" s="197"/>
      <c r="X9" s="198" t="s">
        <v>111</v>
      </c>
      <c r="Y9" s="199"/>
      <c r="Z9" s="199"/>
      <c r="AA9" s="200"/>
      <c r="AB9" s="1">
        <f t="shared" si="1"/>
        <v>0</v>
      </c>
      <c r="AC9" s="20"/>
      <c r="AD9" s="20"/>
      <c r="AE9" s="25" t="s">
        <v>117</v>
      </c>
      <c r="AF9" s="62"/>
      <c r="AH9" s="22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</row>
    <row r="10" spans="1:59" ht="12.75">
      <c r="A10" s="27" t="s">
        <v>12</v>
      </c>
      <c r="B10" s="29"/>
      <c r="C10" s="29"/>
      <c r="D10" s="23"/>
      <c r="E10" s="195"/>
      <c r="F10" s="196"/>
      <c r="G10" s="197"/>
      <c r="H10" s="198" t="s">
        <v>112</v>
      </c>
      <c r="I10" s="199"/>
      <c r="J10" s="199"/>
      <c r="K10" s="200"/>
      <c r="L10" s="1"/>
      <c r="M10" s="20"/>
      <c r="N10" s="20"/>
      <c r="O10" s="20"/>
      <c r="P10" s="62"/>
      <c r="Q10" s="27" t="s">
        <v>12</v>
      </c>
      <c r="R10" s="29"/>
      <c r="S10" s="29"/>
      <c r="T10" s="23"/>
      <c r="U10" s="195">
        <f t="shared" si="0"/>
        <v>0</v>
      </c>
      <c r="V10" s="196"/>
      <c r="W10" s="197"/>
      <c r="X10" s="198" t="s">
        <v>112</v>
      </c>
      <c r="Y10" s="199"/>
      <c r="Z10" s="199"/>
      <c r="AA10" s="200"/>
      <c r="AB10" s="1">
        <f t="shared" si="1"/>
        <v>0</v>
      </c>
      <c r="AC10" s="20"/>
      <c r="AD10" s="20"/>
      <c r="AE10" s="145">
        <f>+Lordo-U12</f>
        <v>0</v>
      </c>
      <c r="AF10" s="62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</row>
    <row r="11" spans="1:59" ht="12.75">
      <c r="A11" s="27" t="s">
        <v>14</v>
      </c>
      <c r="B11" s="29"/>
      <c r="C11" s="29"/>
      <c r="D11" s="29"/>
      <c r="E11" s="195"/>
      <c r="F11" s="196"/>
      <c r="G11" s="197"/>
      <c r="H11" s="198" t="s">
        <v>113</v>
      </c>
      <c r="I11" s="199"/>
      <c r="J11" s="199"/>
      <c r="K11" s="200"/>
      <c r="L11" s="143">
        <f>ROUND((E10+E11)*(Aliquote!H9),2)</f>
        <v>0</v>
      </c>
      <c r="M11" s="20"/>
      <c r="N11" s="20"/>
      <c r="O11" s="20"/>
      <c r="P11" s="62"/>
      <c r="Q11" s="27" t="s">
        <v>14</v>
      </c>
      <c r="R11" s="29"/>
      <c r="S11" s="29"/>
      <c r="T11" s="29"/>
      <c r="U11" s="195">
        <f t="shared" si="0"/>
        <v>0</v>
      </c>
      <c r="V11" s="196"/>
      <c r="W11" s="197"/>
      <c r="X11" s="198" t="s">
        <v>113</v>
      </c>
      <c r="Y11" s="199"/>
      <c r="Z11" s="199"/>
      <c r="AA11" s="200"/>
      <c r="AB11" s="143">
        <f t="shared" si="1"/>
        <v>0</v>
      </c>
      <c r="AC11" s="20"/>
      <c r="AD11" s="20"/>
      <c r="AE11" s="20"/>
      <c r="AF11" s="62"/>
      <c r="AH11" s="85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</row>
    <row r="12" spans="1:59" ht="12.75">
      <c r="A12" s="27"/>
      <c r="B12" s="29"/>
      <c r="C12" s="29"/>
      <c r="D12" s="23"/>
      <c r="E12" s="404"/>
      <c r="F12" s="405"/>
      <c r="G12" s="406"/>
      <c r="H12" s="198" t="s">
        <v>114</v>
      </c>
      <c r="I12" s="199"/>
      <c r="J12" s="199"/>
      <c r="K12" s="200"/>
      <c r="L12" s="144">
        <f>ROUND((E10+E11)*(Aliquote!I9),2)</f>
        <v>0</v>
      </c>
      <c r="M12" s="20"/>
      <c r="N12" s="20"/>
      <c r="O12" s="20"/>
      <c r="P12" s="62"/>
      <c r="Q12" s="27" t="s">
        <v>16</v>
      </c>
      <c r="R12" s="29"/>
      <c r="S12" s="29"/>
      <c r="T12" s="23"/>
      <c r="U12" s="195">
        <f t="shared" si="0"/>
        <v>0</v>
      </c>
      <c r="V12" s="196"/>
      <c r="W12" s="197"/>
      <c r="X12" s="198" t="s">
        <v>114</v>
      </c>
      <c r="Y12" s="199"/>
      <c r="Z12" s="199"/>
      <c r="AA12" s="200"/>
      <c r="AB12" s="143">
        <f t="shared" si="1"/>
        <v>0</v>
      </c>
      <c r="AC12" s="91"/>
      <c r="AD12" s="20"/>
      <c r="AE12" s="20"/>
      <c r="AF12" s="62"/>
      <c r="AH12" s="85"/>
      <c r="AI12" s="186" t="s">
        <v>32</v>
      </c>
      <c r="AJ12" s="186"/>
      <c r="AK12" s="186"/>
      <c r="AL12" s="186"/>
      <c r="AM12" s="186"/>
      <c r="AN12" t="s">
        <v>44</v>
      </c>
      <c r="AO12" t="s">
        <v>43</v>
      </c>
      <c r="AT12" s="77"/>
      <c r="AU12" s="78"/>
      <c r="AV12" s="78"/>
      <c r="AW12" s="78"/>
      <c r="AX12" s="77"/>
      <c r="AY12" s="77"/>
      <c r="AZ12" s="77"/>
      <c r="BA12" s="77"/>
      <c r="BB12" s="77"/>
      <c r="BC12" s="77"/>
      <c r="BD12" s="77"/>
      <c r="BE12" s="77"/>
      <c r="BF12" s="77"/>
      <c r="BG12" s="77"/>
    </row>
    <row r="13" spans="1:59" ht="12.75">
      <c r="A13" s="27" t="s">
        <v>17</v>
      </c>
      <c r="B13" s="29"/>
      <c r="C13" s="29"/>
      <c r="D13" s="23"/>
      <c r="E13" s="195"/>
      <c r="F13" s="196"/>
      <c r="G13" s="197"/>
      <c r="H13" s="198"/>
      <c r="I13" s="199"/>
      <c r="J13" s="199"/>
      <c r="K13" s="200"/>
      <c r="L13" s="143"/>
      <c r="M13" s="20"/>
      <c r="N13" s="20"/>
      <c r="O13" s="20"/>
      <c r="P13" s="62"/>
      <c r="Q13" s="27" t="s">
        <v>17</v>
      </c>
      <c r="R13" s="29"/>
      <c r="S13" s="29"/>
      <c r="T13" s="23"/>
      <c r="U13" s="195">
        <f t="shared" si="0"/>
        <v>0</v>
      </c>
      <c r="V13" s="196"/>
      <c r="W13" s="197"/>
      <c r="X13" s="198" t="s">
        <v>115</v>
      </c>
      <c r="Y13" s="199"/>
      <c r="Z13" s="199"/>
      <c r="AA13" s="200"/>
      <c r="AB13" s="143">
        <f t="shared" si="1"/>
        <v>0</v>
      </c>
      <c r="AC13" s="20"/>
      <c r="AD13" s="20"/>
      <c r="AE13" s="91"/>
      <c r="AF13" s="62"/>
      <c r="AH13" s="85"/>
      <c r="AI13" s="4" t="s">
        <v>33</v>
      </c>
      <c r="AJ13" s="107">
        <v>80000</v>
      </c>
      <c r="AK13" s="4"/>
      <c r="AL13" s="107">
        <v>800</v>
      </c>
      <c r="AM13" s="107">
        <v>690</v>
      </c>
      <c r="AN13" s="87">
        <v>110</v>
      </c>
      <c r="AO13" s="87">
        <f>ROUND(Redd_Detraz/AJ19,4)</f>
        <v>0</v>
      </c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</row>
    <row r="14" spans="1:59" ht="12.75">
      <c r="A14" s="192" t="s">
        <v>108</v>
      </c>
      <c r="B14" s="193"/>
      <c r="C14" s="193"/>
      <c r="D14" s="194"/>
      <c r="E14" s="195"/>
      <c r="F14" s="196"/>
      <c r="G14" s="197"/>
      <c r="H14" s="198" t="s">
        <v>116</v>
      </c>
      <c r="I14" s="199"/>
      <c r="J14" s="199"/>
      <c r="K14" s="200"/>
      <c r="L14" s="143">
        <f>ROUND(E13*80%*(Aliquote!$G$9)+E13*(Aliquote!$H$9+Aliquote!$I$9),5)</f>
        <v>0</v>
      </c>
      <c r="M14" s="20"/>
      <c r="N14" s="20"/>
      <c r="O14" s="20"/>
      <c r="P14" s="62"/>
      <c r="Q14" s="26" t="s">
        <v>13</v>
      </c>
      <c r="R14" s="30"/>
      <c r="S14" s="30"/>
      <c r="T14" s="24"/>
      <c r="U14" s="195">
        <f t="shared" si="0"/>
        <v>0</v>
      </c>
      <c r="V14" s="196"/>
      <c r="W14" s="197"/>
      <c r="X14" s="198" t="s">
        <v>116</v>
      </c>
      <c r="Y14" s="199"/>
      <c r="Z14" s="199"/>
      <c r="AA14" s="200"/>
      <c r="AB14" s="143">
        <f t="shared" si="1"/>
        <v>0</v>
      </c>
      <c r="AC14" s="20"/>
      <c r="AD14" s="20"/>
      <c r="AE14" s="20"/>
      <c r="AF14" s="62"/>
      <c r="AH14" s="85"/>
      <c r="AI14" s="4" t="s">
        <v>34</v>
      </c>
      <c r="AJ14" s="107">
        <v>95000</v>
      </c>
      <c r="AK14" s="4"/>
      <c r="AL14" s="107">
        <v>800</v>
      </c>
      <c r="AO14" s="77">
        <f>ROUND((Coniuge-Redd_Detraz)/AJ38,4)</f>
        <v>2</v>
      </c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</row>
    <row r="15" spans="1:59" ht="12.75">
      <c r="A15" s="192" t="s">
        <v>109</v>
      </c>
      <c r="B15" s="193"/>
      <c r="C15" s="193"/>
      <c r="D15" s="194"/>
      <c r="E15" s="195"/>
      <c r="F15" s="196"/>
      <c r="G15" s="197"/>
      <c r="H15" s="192" t="s">
        <v>149</v>
      </c>
      <c r="I15" s="193"/>
      <c r="J15" s="193"/>
      <c r="K15" s="194"/>
      <c r="L15" s="143">
        <f>ROUND(E14*80%*(Aliquote!$G$9)+E14*(Aliquote!$H$9+Aliquote!$I$9),5)</f>
        <v>0</v>
      </c>
      <c r="M15" s="20"/>
      <c r="N15" s="20"/>
      <c r="O15" s="20"/>
      <c r="P15" s="62"/>
      <c r="Q15" s="26" t="s">
        <v>13</v>
      </c>
      <c r="R15" s="30"/>
      <c r="S15" s="30"/>
      <c r="T15" s="24"/>
      <c r="U15" s="195">
        <f t="shared" si="0"/>
        <v>0</v>
      </c>
      <c r="V15" s="196"/>
      <c r="W15" s="197"/>
      <c r="X15" s="192" t="s">
        <v>13</v>
      </c>
      <c r="Y15" s="193"/>
      <c r="Z15" s="193"/>
      <c r="AA15" s="194"/>
      <c r="AB15" s="143">
        <f t="shared" si="1"/>
        <v>0</v>
      </c>
      <c r="AC15" s="20"/>
      <c r="AD15" s="20"/>
      <c r="AE15" s="25" t="s">
        <v>93</v>
      </c>
      <c r="AF15" s="62"/>
      <c r="AH15" s="85"/>
      <c r="AI15" s="4" t="s">
        <v>35</v>
      </c>
      <c r="AJ15" s="107">
        <v>55000</v>
      </c>
      <c r="AK15" s="4"/>
      <c r="AL15" s="107">
        <v>1338</v>
      </c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</row>
    <row r="16" spans="1:59" ht="12.75">
      <c r="A16" s="192" t="s">
        <v>148</v>
      </c>
      <c r="B16" s="193"/>
      <c r="C16" s="193"/>
      <c r="D16" s="194"/>
      <c r="E16" s="195"/>
      <c r="F16" s="196"/>
      <c r="G16" s="197"/>
      <c r="H16" s="192" t="s">
        <v>150</v>
      </c>
      <c r="I16" s="193"/>
      <c r="J16" s="193"/>
      <c r="K16" s="194"/>
      <c r="L16" s="144">
        <f>ROUND(E15*(Aliquote!$H$9+Aliquote!$I$9),5)</f>
        <v>0</v>
      </c>
      <c r="M16" s="20"/>
      <c r="N16" s="20"/>
      <c r="O16" s="20"/>
      <c r="P16" s="62"/>
      <c r="Q16" s="192" t="s">
        <v>57</v>
      </c>
      <c r="R16" s="193"/>
      <c r="S16" s="193"/>
      <c r="T16" s="194"/>
      <c r="U16" s="195"/>
      <c r="V16" s="196"/>
      <c r="W16" s="197"/>
      <c r="X16" s="192" t="s">
        <v>13</v>
      </c>
      <c r="Y16" s="193"/>
      <c r="Z16" s="193"/>
      <c r="AA16" s="194"/>
      <c r="AB16" s="143">
        <f t="shared" si="1"/>
        <v>0</v>
      </c>
      <c r="AC16" s="298"/>
      <c r="AD16" s="299"/>
      <c r="AE16" s="146">
        <f>IF(O46&gt;E12,ROUND((O46-E12)*12,2),0)</f>
        <v>0</v>
      </c>
      <c r="AF16" s="62"/>
      <c r="AH16" s="85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</row>
    <row r="17" spans="1:59" ht="12.75">
      <c r="A17" s="163" t="s">
        <v>15</v>
      </c>
      <c r="B17" s="154"/>
      <c r="C17" s="154"/>
      <c r="D17" s="164"/>
      <c r="E17" s="175">
        <f>SUM(E8:G16)</f>
        <v>0</v>
      </c>
      <c r="F17" s="219"/>
      <c r="G17" s="176"/>
      <c r="H17" s="192" t="s">
        <v>148</v>
      </c>
      <c r="I17" s="193"/>
      <c r="J17" s="193"/>
      <c r="K17" s="194"/>
      <c r="L17" s="189"/>
      <c r="M17" s="20"/>
      <c r="N17" s="20"/>
      <c r="O17" s="20"/>
      <c r="P17" s="62"/>
      <c r="Q17" s="31" t="s">
        <v>15</v>
      </c>
      <c r="R17" s="28"/>
      <c r="S17" s="28"/>
      <c r="T17" s="32"/>
      <c r="U17" s="175">
        <f>SUM(U8:W16)</f>
        <v>0</v>
      </c>
      <c r="V17" s="219"/>
      <c r="W17" s="176"/>
      <c r="X17" s="192" t="s">
        <v>57</v>
      </c>
      <c r="Y17" s="193"/>
      <c r="Z17" s="193"/>
      <c r="AA17" s="194"/>
      <c r="AB17" s="143">
        <f t="shared" si="1"/>
        <v>0</v>
      </c>
      <c r="AC17" s="160"/>
      <c r="AD17" s="160"/>
      <c r="AE17" s="147"/>
      <c r="AF17" s="62"/>
      <c r="AH17" s="85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</row>
    <row r="18" spans="1:59" ht="13.5" thickBot="1">
      <c r="A18" s="57"/>
      <c r="B18" s="20"/>
      <c r="C18" s="20"/>
      <c r="D18" s="20"/>
      <c r="E18" s="20"/>
      <c r="F18" s="20"/>
      <c r="G18" s="20"/>
      <c r="H18" s="163" t="s">
        <v>15</v>
      </c>
      <c r="I18" s="154"/>
      <c r="J18" s="154"/>
      <c r="K18" s="164"/>
      <c r="L18" s="3">
        <f>SUM(L8:L17)</f>
        <v>0</v>
      </c>
      <c r="M18" s="20"/>
      <c r="N18" s="20"/>
      <c r="O18" s="20"/>
      <c r="P18" s="62"/>
      <c r="Q18" s="57"/>
      <c r="R18" s="20"/>
      <c r="S18" s="20"/>
      <c r="T18" s="20"/>
      <c r="U18" s="20"/>
      <c r="V18" s="20"/>
      <c r="W18" s="20"/>
      <c r="X18" s="31" t="s">
        <v>15</v>
      </c>
      <c r="Y18" s="28"/>
      <c r="Z18" s="28"/>
      <c r="AA18" s="32"/>
      <c r="AB18" s="3">
        <f>SUM(AB8:AB17)</f>
        <v>0</v>
      </c>
      <c r="AC18" s="136"/>
      <c r="AD18" s="136" t="s">
        <v>139</v>
      </c>
      <c r="AE18" s="147"/>
      <c r="AF18" s="151">
        <f>ROUND(E12*12,5)</f>
        <v>0</v>
      </c>
      <c r="AH18" s="85"/>
      <c r="AI18" s="4" t="s">
        <v>38</v>
      </c>
      <c r="AJ18" s="110" t="s">
        <v>39</v>
      </c>
      <c r="AK18" s="77"/>
      <c r="AL18" s="111" t="s">
        <v>45</v>
      </c>
      <c r="AM18" s="111" t="s">
        <v>40</v>
      </c>
      <c r="AO18">
        <f>IF(AP18&gt;0,1,0)</f>
        <v>0</v>
      </c>
      <c r="AP18" s="87"/>
      <c r="AQ18" s="87">
        <v>700</v>
      </c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</row>
    <row r="19" spans="1:59" ht="13.5" customHeight="1" hidden="1" thickBot="1">
      <c r="A19" s="79"/>
      <c r="B19" s="25"/>
      <c r="C19" s="25"/>
      <c r="D19" s="25"/>
      <c r="E19" s="25"/>
      <c r="F19" s="25"/>
      <c r="G19" s="25"/>
      <c r="H19" s="20"/>
      <c r="I19" s="20"/>
      <c r="J19" s="20"/>
      <c r="K19" s="20"/>
      <c r="L19" s="20"/>
      <c r="M19" s="20"/>
      <c r="N19" s="20"/>
      <c r="O19" s="20"/>
      <c r="P19" s="62"/>
      <c r="Q19" s="79"/>
      <c r="R19" s="25"/>
      <c r="S19" s="25"/>
      <c r="T19" s="25"/>
      <c r="U19" s="25"/>
      <c r="V19" s="25"/>
      <c r="W19" s="25"/>
      <c r="X19" s="20"/>
      <c r="Y19" s="20"/>
      <c r="Z19" s="20"/>
      <c r="AA19" s="20"/>
      <c r="AB19" s="20"/>
      <c r="AC19" s="136"/>
      <c r="AD19" s="20"/>
      <c r="AE19" s="148"/>
      <c r="AF19" s="62"/>
      <c r="AI19" s="315" t="s">
        <v>33</v>
      </c>
      <c r="AJ19" s="316">
        <v>15000</v>
      </c>
      <c r="AK19" s="77"/>
      <c r="AL19" s="118">
        <v>0</v>
      </c>
      <c r="AM19" s="127">
        <v>0</v>
      </c>
      <c r="AO19">
        <f>IF(AP19&gt;0,1,0)</f>
        <v>0</v>
      </c>
      <c r="AP19" s="87"/>
      <c r="AQ19" s="87">
        <v>500</v>
      </c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</row>
    <row r="20" spans="1:59" ht="15.75">
      <c r="A20" s="241" t="s">
        <v>66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3"/>
      <c r="Q20" s="241" t="s">
        <v>66</v>
      </c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3"/>
      <c r="AI20" s="315"/>
      <c r="AJ20" s="316"/>
      <c r="AK20" s="77"/>
      <c r="AL20" s="128"/>
      <c r="AM20" s="129"/>
      <c r="AP20" s="87"/>
      <c r="AQ20" s="8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</row>
    <row r="21" spans="1:59" ht="12.75">
      <c r="A21" s="289" t="s">
        <v>33</v>
      </c>
      <c r="B21" s="289"/>
      <c r="C21" s="289"/>
      <c r="D21" s="2"/>
      <c r="E21" s="25"/>
      <c r="F21" s="63"/>
      <c r="G21" s="63"/>
      <c r="H21" s="63"/>
      <c r="I21" s="45"/>
      <c r="J21" s="20"/>
      <c r="K21" s="20"/>
      <c r="L21" s="20"/>
      <c r="M21" s="20"/>
      <c r="N21" s="20"/>
      <c r="O21" s="20"/>
      <c r="P21" s="62"/>
      <c r="Q21" s="289" t="s">
        <v>33</v>
      </c>
      <c r="R21" s="289"/>
      <c r="S21" s="289"/>
      <c r="T21" s="2">
        <f>+D21</f>
        <v>0</v>
      </c>
      <c r="U21" s="25"/>
      <c r="V21" s="63" t="str">
        <f>IF(CNG="Si","Mesi a carico",Vuota1)</f>
        <v>        </v>
      </c>
      <c r="W21" s="63"/>
      <c r="X21" s="63"/>
      <c r="Y21" s="45">
        <v>12</v>
      </c>
      <c r="Z21" s="20"/>
      <c r="AA21" s="20"/>
      <c r="AB21" s="20"/>
      <c r="AC21" s="20"/>
      <c r="AD21" s="20"/>
      <c r="AE21" s="20"/>
      <c r="AF21" s="62"/>
      <c r="AI21" s="315"/>
      <c r="AJ21" s="316"/>
      <c r="AK21" s="77"/>
      <c r="AL21" s="128"/>
      <c r="AM21" s="129"/>
      <c r="AP21" s="87"/>
      <c r="AQ21" s="87"/>
      <c r="AT21" s="77"/>
      <c r="AU21" s="303" t="s">
        <v>83</v>
      </c>
      <c r="AV21" s="304"/>
      <c r="AW21" s="305"/>
      <c r="AX21" s="77"/>
      <c r="AY21" s="77"/>
      <c r="AZ21" s="77"/>
      <c r="BA21" s="77"/>
      <c r="BB21" s="77"/>
      <c r="BC21" s="77"/>
      <c r="BD21" s="77"/>
      <c r="BE21" s="77"/>
      <c r="BF21" s="77"/>
      <c r="BG21" s="77"/>
    </row>
    <row r="22" spans="1:59" ht="12.75">
      <c r="A22" s="64"/>
      <c r="B22" s="63"/>
      <c r="C22" s="48"/>
      <c r="D22" s="20"/>
      <c r="E22" s="25"/>
      <c r="F22" s="63"/>
      <c r="G22" s="63"/>
      <c r="H22" s="63"/>
      <c r="I22" s="20"/>
      <c r="J22" s="20"/>
      <c r="K22" s="20"/>
      <c r="L22" s="20"/>
      <c r="M22" s="20"/>
      <c r="N22" s="20"/>
      <c r="O22" s="20"/>
      <c r="P22" s="62"/>
      <c r="Q22" s="64"/>
      <c r="R22" s="63"/>
      <c r="S22" s="48"/>
      <c r="T22" s="20"/>
      <c r="U22" s="25"/>
      <c r="V22" s="63"/>
      <c r="W22" s="63"/>
      <c r="X22" s="63"/>
      <c r="Y22" s="20"/>
      <c r="Z22" s="20"/>
      <c r="AA22" s="20"/>
      <c r="AB22" s="20"/>
      <c r="AC22" s="20"/>
      <c r="AD22" s="20"/>
      <c r="AE22" s="20"/>
      <c r="AF22" s="62"/>
      <c r="AI22" s="315"/>
      <c r="AJ22" s="316"/>
      <c r="AK22" s="77"/>
      <c r="AL22" s="128"/>
      <c r="AM22" s="129"/>
      <c r="AP22" s="87"/>
      <c r="AQ22" s="87"/>
      <c r="AT22" s="77"/>
      <c r="AU22" s="306"/>
      <c r="AV22" s="257"/>
      <c r="AW22" s="307"/>
      <c r="AX22" s="77"/>
      <c r="AY22" s="77"/>
      <c r="AZ22" s="77"/>
      <c r="BA22" s="77"/>
      <c r="BB22" s="77"/>
      <c r="BC22" s="77"/>
      <c r="BD22" s="77"/>
      <c r="BE22" s="77"/>
      <c r="BF22" s="77"/>
      <c r="BG22" s="77"/>
    </row>
    <row r="23" spans="1:59" ht="12.75">
      <c r="A23" s="54" t="s">
        <v>67</v>
      </c>
      <c r="B23" s="55"/>
      <c r="C23" s="56"/>
      <c r="D23" s="49"/>
      <c r="E23" s="20"/>
      <c r="F23" s="63" t="str">
        <f>IF(N_Fgl&gt;0,"Se il 1° figlio è in assenza del coniuge barrare la casella &gt;&gt;&gt;&gt;",Vuota1)</f>
        <v>        </v>
      </c>
      <c r="G23" s="63"/>
      <c r="H23" s="63"/>
      <c r="I23" s="20"/>
      <c r="J23" s="25"/>
      <c r="K23" s="20"/>
      <c r="L23" s="20"/>
      <c r="M23" s="20"/>
      <c r="N23" s="43"/>
      <c r="O23" s="63"/>
      <c r="P23" s="65"/>
      <c r="Q23" s="54" t="s">
        <v>67</v>
      </c>
      <c r="R23" s="55"/>
      <c r="S23" s="56"/>
      <c r="T23" s="49">
        <f>+D23</f>
        <v>0</v>
      </c>
      <c r="U23" s="20"/>
      <c r="V23" s="63" t="str">
        <f>IF(N_Fgl&gt;0,"Se il 1° figlio è in assenza delconiuge barrare la casella &gt;&gt;&gt;&gt;",Vuota1)</f>
        <v>        </v>
      </c>
      <c r="W23" s="63"/>
      <c r="X23" s="63"/>
      <c r="Y23" s="20"/>
      <c r="Z23" s="25"/>
      <c r="AA23" s="20"/>
      <c r="AB23" s="20"/>
      <c r="AC23" s="20"/>
      <c r="AD23" s="44">
        <f>+N23</f>
        <v>0</v>
      </c>
      <c r="AE23" s="63" t="str">
        <f>IF(AD23&gt;0,"Mesi a carico",Vuota1)</f>
        <v>        </v>
      </c>
      <c r="AF23" s="65"/>
      <c r="AI23" s="315"/>
      <c r="AJ23" s="316"/>
      <c r="AK23" s="77"/>
      <c r="AL23" s="128"/>
      <c r="AM23" s="129"/>
      <c r="AP23" s="87"/>
      <c r="AQ23" s="87"/>
      <c r="AT23" s="77"/>
      <c r="AU23" s="306"/>
      <c r="AV23" s="257"/>
      <c r="AW23" s="307"/>
      <c r="AX23" s="77"/>
      <c r="AY23" s="77"/>
      <c r="AZ23" s="77"/>
      <c r="BA23" s="77"/>
      <c r="BB23" s="77"/>
      <c r="BC23" s="77"/>
      <c r="BD23" s="77"/>
      <c r="BE23" s="77"/>
      <c r="BF23" s="77"/>
      <c r="BG23" s="77"/>
    </row>
    <row r="24" spans="1:59" ht="12.75" customHeight="1">
      <c r="A24" s="47"/>
      <c r="B24" s="239" t="s">
        <v>64</v>
      </c>
      <c r="C24" s="240"/>
      <c r="D24" s="293"/>
      <c r="E24" s="294" t="s">
        <v>65</v>
      </c>
      <c r="F24" s="295"/>
      <c r="G24" s="293"/>
      <c r="H24" s="294" t="s">
        <v>59</v>
      </c>
      <c r="I24" s="295"/>
      <c r="J24" s="293"/>
      <c r="K24" s="48"/>
      <c r="L24" s="63"/>
      <c r="M24" s="20"/>
      <c r="N24" s="20"/>
      <c r="O24" s="20"/>
      <c r="P24" s="62"/>
      <c r="Q24" s="47"/>
      <c r="R24" s="239" t="s">
        <v>64</v>
      </c>
      <c r="S24" s="240"/>
      <c r="T24" s="293"/>
      <c r="U24" s="294" t="s">
        <v>65</v>
      </c>
      <c r="V24" s="295"/>
      <c r="W24" s="293"/>
      <c r="X24" s="294" t="s">
        <v>59</v>
      </c>
      <c r="Y24" s="295"/>
      <c r="Z24" s="293"/>
      <c r="AA24" s="42" t="s">
        <v>80</v>
      </c>
      <c r="AB24" s="63"/>
      <c r="AC24" s="20"/>
      <c r="AD24" s="20"/>
      <c r="AE24" s="20"/>
      <c r="AF24" s="62"/>
      <c r="AI24" s="315"/>
      <c r="AJ24" s="316"/>
      <c r="AK24" s="77"/>
      <c r="AL24" s="128"/>
      <c r="AM24" s="129"/>
      <c r="AP24" s="87"/>
      <c r="AQ24" s="87"/>
      <c r="AT24" s="77"/>
      <c r="AU24" s="306"/>
      <c r="AV24" s="257"/>
      <c r="AW24" s="307"/>
      <c r="AX24" s="77"/>
      <c r="AY24" s="77"/>
      <c r="AZ24" s="77"/>
      <c r="BA24" s="77"/>
      <c r="BB24" s="77"/>
      <c r="BC24" s="77"/>
      <c r="BD24" s="77"/>
      <c r="BE24" s="77"/>
      <c r="BF24" s="77"/>
      <c r="BG24" s="77"/>
    </row>
    <row r="25" spans="1:59" ht="12.75" customHeight="1">
      <c r="A25" s="64" t="str">
        <f>IF(N_Fgl&gt;0,"1° figlio",Vuota1)</f>
        <v>        </v>
      </c>
      <c r="B25" s="63"/>
      <c r="C25" s="43"/>
      <c r="D25" s="63"/>
      <c r="E25" s="63"/>
      <c r="F25" s="43"/>
      <c r="G25" s="63"/>
      <c r="H25" s="63"/>
      <c r="I25" s="43"/>
      <c r="J25" s="63"/>
      <c r="K25" s="63"/>
      <c r="L25" s="66" t="str">
        <f>IF($D$23&gt;0,ROUND(AB25/12,2),Vuota1)</f>
        <v>        </v>
      </c>
      <c r="M25" s="231" t="s">
        <v>69</v>
      </c>
      <c r="N25" s="232"/>
      <c r="O25" s="233"/>
      <c r="P25" s="244">
        <v>1</v>
      </c>
      <c r="Q25" s="64" t="str">
        <f>IF(N_Fgl&gt;0,"1° figlio",Vuota1)</f>
        <v>        </v>
      </c>
      <c r="R25" s="63"/>
      <c r="S25" s="43">
        <f aca="true" t="shared" si="2" ref="S25:S31">+C25</f>
        <v>0</v>
      </c>
      <c r="T25" s="63"/>
      <c r="U25" s="63"/>
      <c r="V25" s="43">
        <f aca="true" t="shared" si="3" ref="V25:V31">+F25</f>
        <v>0</v>
      </c>
      <c r="W25" s="63"/>
      <c r="X25" s="63"/>
      <c r="Y25" s="43">
        <f aca="true" t="shared" si="4" ref="Y25:Y31">+I25</f>
        <v>0</v>
      </c>
      <c r="Z25" s="63"/>
      <c r="AA25" s="43"/>
      <c r="AB25" s="66" t="str">
        <f>IF(N_Fgl&gt;0,IF(AD23&gt;0,AH27,ROUND(dsfig*Percm,2)+IF($V$25&gt;0,ROUND((dsfg3-dsfig)*Percm,2),0)+IF($Y$25&gt;0,ROUND(dsfhc*Percm,2),0)),Vuota1)</f>
        <v>        </v>
      </c>
      <c r="AC25" s="231" t="s">
        <v>69</v>
      </c>
      <c r="AD25" s="232"/>
      <c r="AE25" s="233"/>
      <c r="AF25" s="244">
        <f>+P25</f>
        <v>1</v>
      </c>
      <c r="AH25" s="106">
        <f>ROUND(dsfig,5)+IF($V$25&gt;0,ROUND(dsfg3-dsfig,5),0)+IF($Y$25&gt;0,ROUND(dsfhc,5),0)</f>
        <v>0</v>
      </c>
      <c r="AI25" s="315"/>
      <c r="AJ25" s="316"/>
      <c r="AK25" s="77"/>
      <c r="AL25" s="128"/>
      <c r="AM25" s="129"/>
      <c r="AP25" s="87"/>
      <c r="AQ25" s="87"/>
      <c r="AT25" s="77"/>
      <c r="AU25" s="308"/>
      <c r="AV25" s="309"/>
      <c r="AW25" s="310"/>
      <c r="AX25" s="77"/>
      <c r="AY25" s="77"/>
      <c r="AZ25" s="77"/>
      <c r="BA25" s="77"/>
      <c r="BB25" s="77"/>
      <c r="BC25" s="77"/>
      <c r="BD25" s="77"/>
      <c r="BE25" s="77"/>
      <c r="BF25" s="77"/>
      <c r="BG25" s="77"/>
    </row>
    <row r="26" spans="1:59" ht="12.75">
      <c r="A26" s="64" t="str">
        <f>IF(N_Fgl&gt;1,"2° figlio"," ")</f>
        <v> </v>
      </c>
      <c r="B26" s="63"/>
      <c r="C26" s="43"/>
      <c r="D26" s="63"/>
      <c r="E26" s="63"/>
      <c r="F26" s="43"/>
      <c r="G26" s="63"/>
      <c r="H26" s="63"/>
      <c r="I26" s="43"/>
      <c r="J26" s="63"/>
      <c r="K26" s="63"/>
      <c r="L26" s="66" t="str">
        <f>IF($D$23&gt;1,ROUND(AB26/12,2),Vuota1)</f>
        <v>        </v>
      </c>
      <c r="M26" s="234"/>
      <c r="N26" s="188"/>
      <c r="O26" s="235"/>
      <c r="P26" s="245"/>
      <c r="Q26" s="64" t="str">
        <f>IF(N_Fgl&gt;1,"2° figlio"," ")</f>
        <v> </v>
      </c>
      <c r="R26" s="63"/>
      <c r="S26" s="43">
        <f t="shared" si="2"/>
        <v>0</v>
      </c>
      <c r="T26" s="63"/>
      <c r="U26" s="63"/>
      <c r="V26" s="43">
        <f t="shared" si="3"/>
        <v>0</v>
      </c>
      <c r="W26" s="63"/>
      <c r="X26" s="63"/>
      <c r="Y26" s="43">
        <f t="shared" si="4"/>
        <v>0</v>
      </c>
      <c r="Z26" s="63"/>
      <c r="AA26" s="43"/>
      <c r="AB26" s="66" t="str">
        <f>IF(N_Fgl&gt;1,ROUND(dsfig*Percm,2)+IF(V26&gt;0,ROUND((dsfg3-dsfig)*Percm,2),0)+IF(Y26&gt;0,ROUND(dsfhc*Percm,2),0),Vuota1)</f>
        <v>        </v>
      </c>
      <c r="AC26" s="234"/>
      <c r="AD26" s="188"/>
      <c r="AE26" s="235"/>
      <c r="AF26" s="245"/>
      <c r="AI26" s="315"/>
      <c r="AJ26" s="316"/>
      <c r="AK26" s="77"/>
      <c r="AL26" s="128"/>
      <c r="AM26" s="129"/>
      <c r="AP26" s="87"/>
      <c r="AQ26" s="8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</row>
    <row r="27" spans="1:59" ht="12.75">
      <c r="A27" s="64" t="str">
        <f>IF(N_Fgl&gt;2,"3° figlio"," ")</f>
        <v> </v>
      </c>
      <c r="B27" s="63"/>
      <c r="C27" s="43"/>
      <c r="D27" s="63"/>
      <c r="E27" s="63"/>
      <c r="F27" s="43"/>
      <c r="G27" s="63"/>
      <c r="H27" s="63"/>
      <c r="I27" s="43"/>
      <c r="J27" s="63"/>
      <c r="K27" s="63"/>
      <c r="L27" s="66" t="str">
        <f>IF($D$23&gt;2,ROUND(AB27/12,2),Vuota1)</f>
        <v>        </v>
      </c>
      <c r="M27" s="236"/>
      <c r="N27" s="237"/>
      <c r="O27" s="238"/>
      <c r="P27" s="246"/>
      <c r="Q27" s="64" t="str">
        <f>IF(N_Fgl&gt;2,"3° figlio"," ")</f>
        <v> </v>
      </c>
      <c r="R27" s="63"/>
      <c r="S27" s="43">
        <f t="shared" si="2"/>
        <v>0</v>
      </c>
      <c r="T27" s="63"/>
      <c r="U27" s="63"/>
      <c r="V27" s="43">
        <f t="shared" si="3"/>
        <v>0</v>
      </c>
      <c r="W27" s="63"/>
      <c r="X27" s="63"/>
      <c r="Y27" s="43">
        <f t="shared" si="4"/>
        <v>0</v>
      </c>
      <c r="Z27" s="63"/>
      <c r="AA27" s="43"/>
      <c r="AB27" s="66" t="str">
        <f>IF(N_Fgl&gt;2,ROUND(dsfig*Percm,2)+IF(V27&gt;0,ROUND((dsfg3-dsfig)*Percm,2),0)+IF(Y27&gt;0,ROUND(dsfhc*Percm,2),0),Vuota1)</f>
        <v>        </v>
      </c>
      <c r="AC27" s="236"/>
      <c r="AD27" s="237"/>
      <c r="AE27" s="238"/>
      <c r="AF27" s="246"/>
      <c r="AH27" s="106">
        <f>IF($AD$23&gt;0,IF($AH$25&gt;Cng_nn,ROUND($AH$25,2),ROUND(Cng_nn,5)),AH25)</f>
        <v>0</v>
      </c>
      <c r="AI27" s="315"/>
      <c r="AJ27" s="316"/>
      <c r="AK27" s="77"/>
      <c r="AL27" s="128"/>
      <c r="AM27" s="129"/>
      <c r="AP27" s="87"/>
      <c r="AQ27" s="8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</row>
    <row r="28" spans="1:59" ht="12.75">
      <c r="A28" s="64" t="str">
        <f>IF(N_Fgl&gt;3,"4° figlio"," ")</f>
        <v> </v>
      </c>
      <c r="B28" s="63"/>
      <c r="C28" s="43"/>
      <c r="D28" s="63"/>
      <c r="E28" s="63"/>
      <c r="F28" s="43"/>
      <c r="G28" s="63"/>
      <c r="H28" s="63"/>
      <c r="I28" s="43"/>
      <c r="J28" s="63"/>
      <c r="K28" s="63"/>
      <c r="L28" s="66" t="str">
        <f>IF($D$23&gt;3,ROUND(AB28/12,2),Vuota1)</f>
        <v>        </v>
      </c>
      <c r="M28" s="319" t="str">
        <f>IF(N23&gt;0,IF(P25=50%,"Attenzione: la percentuale deve essere 100%",Vuota1),Vuota1)</f>
        <v>        </v>
      </c>
      <c r="N28" s="319"/>
      <c r="O28" s="319"/>
      <c r="P28" s="320"/>
      <c r="Q28" s="64" t="str">
        <f>IF(N_Fgl&gt;3,"4° figlio"," ")</f>
        <v> </v>
      </c>
      <c r="R28" s="63"/>
      <c r="S28" s="43">
        <f t="shared" si="2"/>
        <v>0</v>
      </c>
      <c r="T28" s="63"/>
      <c r="U28" s="63"/>
      <c r="V28" s="43">
        <f t="shared" si="3"/>
        <v>0</v>
      </c>
      <c r="W28" s="63"/>
      <c r="X28" s="63"/>
      <c r="Y28" s="43">
        <f t="shared" si="4"/>
        <v>0</v>
      </c>
      <c r="Z28" s="63"/>
      <c r="AA28" s="43"/>
      <c r="AB28" s="66" t="str">
        <f>IF(N_Fgl&gt;3,ROUND(dsfig*Percm,2)+IF(V28&gt;0,ROUND((dsfg3-dsfig)*Percm,2),0)+IF(Y28&gt;0,ROUND(dsfhc*Percm,2),0),Vuota1)</f>
        <v>        </v>
      </c>
      <c r="AC28" s="20"/>
      <c r="AD28" s="20"/>
      <c r="AE28" s="20"/>
      <c r="AF28" s="62"/>
      <c r="AI28" s="315"/>
      <c r="AJ28" s="316"/>
      <c r="AK28" s="77"/>
      <c r="AL28" s="128"/>
      <c r="AM28" s="129"/>
      <c r="AP28" s="87"/>
      <c r="AQ28" s="8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</row>
    <row r="29" spans="1:59" ht="13.5" thickBot="1">
      <c r="A29" s="64" t="str">
        <f>IF(N_Fgl&gt;4,"5° figlio"," ")</f>
        <v> </v>
      </c>
      <c r="B29" s="63"/>
      <c r="C29" s="43"/>
      <c r="D29" s="63"/>
      <c r="E29" s="63"/>
      <c r="F29" s="43"/>
      <c r="G29" s="63"/>
      <c r="H29" s="63"/>
      <c r="I29" s="43"/>
      <c r="J29" s="63"/>
      <c r="K29" s="63"/>
      <c r="L29" s="66" t="str">
        <f>IF($D$23&gt;4,ROUND(AB29/12,2),Vuota1)</f>
        <v>        </v>
      </c>
      <c r="M29" s="321"/>
      <c r="N29" s="321"/>
      <c r="O29" s="321"/>
      <c r="P29" s="322"/>
      <c r="Q29" s="64" t="str">
        <f>IF(N_Fgl&gt;4,"5° figlio"," ")</f>
        <v> </v>
      </c>
      <c r="R29" s="63"/>
      <c r="S29" s="43">
        <f t="shared" si="2"/>
        <v>0</v>
      </c>
      <c r="T29" s="63"/>
      <c r="U29" s="63"/>
      <c r="V29" s="43">
        <f t="shared" si="3"/>
        <v>0</v>
      </c>
      <c r="W29" s="63"/>
      <c r="X29" s="63"/>
      <c r="Y29" s="43">
        <f t="shared" si="4"/>
        <v>0</v>
      </c>
      <c r="Z29" s="63"/>
      <c r="AA29" s="43"/>
      <c r="AB29" s="66" t="str">
        <f>IF(N_Fgl&gt;4,ROUND(dsfig*Percm,2)+IF(V29&gt;0,ROUND((dsfg3-dsfig)*Percm,2),0)+IF(Y29&gt;0,ROUND(dsfhc*Percm,2),0),Vuota1)</f>
        <v>        </v>
      </c>
      <c r="AC29" s="20"/>
      <c r="AD29" s="20"/>
      <c r="AE29" s="20"/>
      <c r="AF29" s="62"/>
      <c r="AI29" s="315"/>
      <c r="AJ29" s="316"/>
      <c r="AK29" s="77"/>
      <c r="AL29" s="128"/>
      <c r="AM29" s="129"/>
      <c r="AP29" s="87"/>
      <c r="AQ29" s="8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</row>
    <row r="30" spans="1:59" ht="13.5" thickTop="1">
      <c r="A30" s="64" t="str">
        <f>IF(N_Fgl&gt;5,"6° figlio"," ")</f>
        <v> </v>
      </c>
      <c r="B30" s="63"/>
      <c r="C30" s="43"/>
      <c r="D30" s="63"/>
      <c r="E30" s="63"/>
      <c r="F30" s="43"/>
      <c r="G30" s="63"/>
      <c r="H30" s="63"/>
      <c r="I30" s="43"/>
      <c r="J30" s="63"/>
      <c r="K30" s="63"/>
      <c r="L30" s="66" t="str">
        <f>IF($D$23&gt;5,ROUND(AB30/12,2),Vuota1)</f>
        <v>        </v>
      </c>
      <c r="M30" s="20"/>
      <c r="N30" s="20"/>
      <c r="O30" s="20"/>
      <c r="P30" s="62"/>
      <c r="Q30" s="64" t="str">
        <f>IF(N_Fgl&gt;5,"6° figlio"," ")</f>
        <v> </v>
      </c>
      <c r="R30" s="63"/>
      <c r="S30" s="43">
        <f t="shared" si="2"/>
        <v>0</v>
      </c>
      <c r="T30" s="63"/>
      <c r="U30" s="63"/>
      <c r="V30" s="43">
        <f t="shared" si="3"/>
        <v>0</v>
      </c>
      <c r="W30" s="63"/>
      <c r="X30" s="63"/>
      <c r="Y30" s="43">
        <f t="shared" si="4"/>
        <v>0</v>
      </c>
      <c r="Z30" s="63"/>
      <c r="AA30" s="43"/>
      <c r="AB30" s="66" t="str">
        <f>IF(N_Fgl&gt;5,ROUND(dsfig*Percm,2)+IF(V30&gt;0,ROUND((dsfg3-dsfig)*Percm,2),0)+IF(Y30&gt;0,ROUND(dsfhc*Percm,2),0),Vuota1)</f>
        <v>        </v>
      </c>
      <c r="AC30" s="20"/>
      <c r="AD30" s="20"/>
      <c r="AE30" s="20"/>
      <c r="AF30" s="62"/>
      <c r="AI30" s="315"/>
      <c r="AJ30" s="316"/>
      <c r="AK30" s="77"/>
      <c r="AL30" s="128"/>
      <c r="AM30" s="129"/>
      <c r="AP30" s="87"/>
      <c r="AQ30" s="87"/>
      <c r="AT30" s="77"/>
      <c r="AU30" s="253" t="s">
        <v>99</v>
      </c>
      <c r="AV30" s="254"/>
      <c r="AW30" s="255"/>
      <c r="AX30" s="77"/>
      <c r="AY30" s="77"/>
      <c r="AZ30" s="77"/>
      <c r="BA30" s="77"/>
      <c r="BB30" s="77"/>
      <c r="BC30" s="77"/>
      <c r="BD30" s="77"/>
      <c r="BE30" s="77"/>
      <c r="BF30" s="77"/>
      <c r="BG30" s="77"/>
    </row>
    <row r="31" spans="1:59" ht="12.75">
      <c r="A31" s="64" t="str">
        <f>IF(N_Fgl&gt;6,"7° figlio"," ")</f>
        <v> </v>
      </c>
      <c r="B31" s="63"/>
      <c r="C31" s="43"/>
      <c r="D31" s="63"/>
      <c r="E31" s="63"/>
      <c r="F31" s="43"/>
      <c r="G31" s="63"/>
      <c r="H31" s="63"/>
      <c r="I31" s="43"/>
      <c r="J31" s="63"/>
      <c r="K31" s="63"/>
      <c r="L31" s="66" t="str">
        <f>IF($D$23&gt;6,ROUND(AB31/12,2),Vuota1)</f>
        <v>        </v>
      </c>
      <c r="M31" s="20"/>
      <c r="N31" s="20"/>
      <c r="O31" s="20"/>
      <c r="P31" s="62"/>
      <c r="Q31" s="64" t="str">
        <f>IF(N_Fgl&gt;6,"7° figlio"," ")</f>
        <v> </v>
      </c>
      <c r="R31" s="63"/>
      <c r="S31" s="43">
        <f t="shared" si="2"/>
        <v>0</v>
      </c>
      <c r="T31" s="63"/>
      <c r="U31" s="63"/>
      <c r="V31" s="43">
        <f t="shared" si="3"/>
        <v>0</v>
      </c>
      <c r="W31" s="63"/>
      <c r="X31" s="63"/>
      <c r="Y31" s="43">
        <f t="shared" si="4"/>
        <v>0</v>
      </c>
      <c r="Z31" s="63"/>
      <c r="AA31" s="43"/>
      <c r="AB31" s="66" t="str">
        <f>IF(N_Fgl&gt;6,ROUND(dsfig*Percm,2)+IF(V31&gt;0,ROUND((dsfg3-dsfig)*Percm,2),0)+IF(Y31&gt;0,ROUND(dsfhc*Percm,2),0),Vuota1)</f>
        <v>        </v>
      </c>
      <c r="AC31" s="20"/>
      <c r="AD31" s="20"/>
      <c r="AE31" s="20"/>
      <c r="AF31" s="62"/>
      <c r="AI31" s="315"/>
      <c r="AJ31" s="316"/>
      <c r="AK31" s="77"/>
      <c r="AL31" s="128"/>
      <c r="AM31" s="129"/>
      <c r="AP31" s="87"/>
      <c r="AQ31" s="87"/>
      <c r="AT31" s="77"/>
      <c r="AU31" s="256"/>
      <c r="AV31" s="257"/>
      <c r="AW31" s="258"/>
      <c r="AX31" s="77"/>
      <c r="AY31" s="77"/>
      <c r="AZ31" s="77"/>
      <c r="BA31" s="77"/>
      <c r="BB31" s="77"/>
      <c r="BC31" s="77"/>
      <c r="BD31" s="77"/>
      <c r="BE31" s="77"/>
      <c r="BF31" s="77"/>
      <c r="BG31" s="77"/>
    </row>
    <row r="32" spans="1:59" ht="12.75">
      <c r="A32" s="5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62"/>
      <c r="Q32" s="57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62"/>
      <c r="AI32" s="315"/>
      <c r="AJ32" s="316"/>
      <c r="AK32" s="77"/>
      <c r="AL32" s="128"/>
      <c r="AM32" s="129"/>
      <c r="AP32" s="87"/>
      <c r="AQ32" s="87"/>
      <c r="AT32" s="77"/>
      <c r="AU32" s="256"/>
      <c r="AV32" s="257"/>
      <c r="AW32" s="258"/>
      <c r="AX32" s="77"/>
      <c r="AY32" s="77"/>
      <c r="AZ32" s="77"/>
      <c r="BA32" s="77"/>
      <c r="BB32" s="77"/>
      <c r="BC32" s="77"/>
      <c r="BD32" s="77"/>
      <c r="BE32" s="77"/>
      <c r="BF32" s="77"/>
      <c r="BG32" s="77"/>
    </row>
    <row r="33" spans="1:59" ht="12.75" customHeight="1">
      <c r="A33" s="286" t="s">
        <v>86</v>
      </c>
      <c r="B33" s="287"/>
      <c r="C33" s="288"/>
      <c r="D33" s="2"/>
      <c r="E33" s="20"/>
      <c r="F33" s="63"/>
      <c r="G33" s="63"/>
      <c r="H33" s="63"/>
      <c r="I33" s="45"/>
      <c r="J33" s="20"/>
      <c r="K33" s="188" t="str">
        <f>IF(D33&gt;0,"Indicare il numero complessivo degli aventi diritto alla detrazione pro quota",Vuota1)</f>
        <v>        </v>
      </c>
      <c r="L33" s="179"/>
      <c r="M33" s="179"/>
      <c r="N33" s="179"/>
      <c r="O33" s="179"/>
      <c r="P33" s="223"/>
      <c r="Q33" s="286" t="s">
        <v>86</v>
      </c>
      <c r="R33" s="287"/>
      <c r="S33" s="288"/>
      <c r="T33" s="2">
        <f>+D33</f>
        <v>0</v>
      </c>
      <c r="U33" s="20"/>
      <c r="V33" s="63" t="str">
        <f>IF(T33&gt;0,"Mesi a carico",Vuota1)</f>
        <v>        </v>
      </c>
      <c r="W33" s="63"/>
      <c r="X33" s="63"/>
      <c r="Y33" s="45">
        <v>12</v>
      </c>
      <c r="Z33" s="20"/>
      <c r="AA33" s="188" t="str">
        <f>IF(T33&gt;0,"Indicare il numero complessivo degli aventi diritto alla detrazione pro quota",Vuota1)</f>
        <v>        </v>
      </c>
      <c r="AB33" s="311"/>
      <c r="AC33" s="311"/>
      <c r="AD33" s="311"/>
      <c r="AE33" s="311"/>
      <c r="AF33" s="223">
        <f>+P33</f>
        <v>0</v>
      </c>
      <c r="AI33" s="315"/>
      <c r="AJ33" s="316"/>
      <c r="AK33" s="77"/>
      <c r="AL33" s="128"/>
      <c r="AM33" s="129"/>
      <c r="AP33" s="87"/>
      <c r="AQ33" s="87"/>
      <c r="AT33" s="77"/>
      <c r="AU33" s="256"/>
      <c r="AV33" s="257"/>
      <c r="AW33" s="258"/>
      <c r="AX33" s="77"/>
      <c r="AY33" s="77"/>
      <c r="AZ33" s="77"/>
      <c r="BA33" s="77"/>
      <c r="BB33" s="77"/>
      <c r="BC33" s="77"/>
      <c r="BD33" s="77"/>
      <c r="BE33" s="77"/>
      <c r="BF33" s="77"/>
      <c r="BG33" s="77"/>
    </row>
    <row r="34" spans="1:59" ht="12.75">
      <c r="A34" s="80"/>
      <c r="B34" s="81"/>
      <c r="C34" s="81"/>
      <c r="D34" s="82"/>
      <c r="E34" s="20"/>
      <c r="F34" s="63"/>
      <c r="G34" s="63"/>
      <c r="H34" s="63"/>
      <c r="I34" s="45"/>
      <c r="J34" s="20"/>
      <c r="K34" s="180"/>
      <c r="L34" s="180"/>
      <c r="M34" s="180"/>
      <c r="N34" s="180"/>
      <c r="O34" s="180"/>
      <c r="P34" s="224"/>
      <c r="Q34" s="80"/>
      <c r="R34" s="81"/>
      <c r="S34" s="81"/>
      <c r="T34" s="82"/>
      <c r="U34" s="20"/>
      <c r="V34" s="63"/>
      <c r="W34" s="63"/>
      <c r="X34" s="63"/>
      <c r="Y34" s="45"/>
      <c r="Z34" s="20"/>
      <c r="AA34" s="180"/>
      <c r="AB34" s="180"/>
      <c r="AC34" s="180"/>
      <c r="AD34" s="180"/>
      <c r="AE34" s="180"/>
      <c r="AF34" s="224"/>
      <c r="AI34" s="315"/>
      <c r="AJ34" s="316"/>
      <c r="AK34" s="77"/>
      <c r="AL34" s="128"/>
      <c r="AM34" s="129"/>
      <c r="AP34" s="87"/>
      <c r="AQ34" s="87"/>
      <c r="AT34" s="77"/>
      <c r="AU34" s="256"/>
      <c r="AV34" s="257"/>
      <c r="AW34" s="258"/>
      <c r="AX34" s="77"/>
      <c r="AY34" s="77"/>
      <c r="AZ34" s="77"/>
      <c r="BA34" s="77"/>
      <c r="BB34" s="77"/>
      <c r="BC34" s="77"/>
      <c r="BD34" s="77"/>
      <c r="BE34" s="77"/>
      <c r="BF34" s="77"/>
      <c r="BG34" s="77"/>
    </row>
    <row r="35" spans="1:59" ht="12.75">
      <c r="A35" s="165" t="s">
        <v>70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7"/>
      <c r="Q35" s="165" t="s">
        <v>70</v>
      </c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7"/>
      <c r="AI35" s="315"/>
      <c r="AJ35" s="316"/>
      <c r="AK35" s="77"/>
      <c r="AL35" s="120">
        <v>0.0001</v>
      </c>
      <c r="AM35" s="121">
        <f>ROUND(DetrConiuge-(Ind*Rapp),2)</f>
        <v>800</v>
      </c>
      <c r="AO35">
        <f>IF(AP35&gt;0,1,0)</f>
        <v>0</v>
      </c>
      <c r="AP35" s="87"/>
      <c r="AQ35" s="87">
        <v>200</v>
      </c>
      <c r="AT35" s="77"/>
      <c r="AU35" s="256"/>
      <c r="AV35" s="257"/>
      <c r="AW35" s="258"/>
      <c r="AX35" s="77"/>
      <c r="AY35" s="77"/>
      <c r="AZ35" s="77"/>
      <c r="BA35" s="77"/>
      <c r="BB35" s="77"/>
      <c r="BC35" s="77"/>
      <c r="BD35" s="77"/>
      <c r="BE35" s="77"/>
      <c r="BF35" s="77"/>
      <c r="BG35" s="77"/>
    </row>
    <row r="36" spans="1:59" ht="12.75">
      <c r="A36" s="290" t="s">
        <v>32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2"/>
      <c r="Q36" s="290" t="s">
        <v>32</v>
      </c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2"/>
      <c r="AH36" s="184" t="s">
        <v>62</v>
      </c>
      <c r="AI36" s="315"/>
      <c r="AJ36" s="316"/>
      <c r="AK36" s="77"/>
      <c r="AL36" s="122">
        <v>1</v>
      </c>
      <c r="AM36" s="121">
        <f>+DetrRid</f>
        <v>690</v>
      </c>
      <c r="AO36">
        <f>IF(AP36&gt;0,1,0)</f>
        <v>0</v>
      </c>
      <c r="AP36" s="87"/>
      <c r="AQ36" s="87">
        <v>1500</v>
      </c>
      <c r="AT36" s="77"/>
      <c r="AU36" s="256"/>
      <c r="AV36" s="257"/>
      <c r="AW36" s="258"/>
      <c r="AX36" s="77"/>
      <c r="AY36" s="77"/>
      <c r="AZ36" s="77"/>
      <c r="BA36" s="77"/>
      <c r="BB36" s="77"/>
      <c r="BC36" s="77"/>
      <c r="BD36" s="77"/>
      <c r="BE36" s="77"/>
      <c r="BF36" s="77"/>
      <c r="BG36" s="77"/>
    </row>
    <row r="37" spans="1:59" ht="12.75">
      <c r="A37" s="225" t="s">
        <v>19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7"/>
      <c r="M37" s="3">
        <f>ROUND(AC37/12,0)</f>
        <v>0</v>
      </c>
      <c r="N37" s="20"/>
      <c r="O37" s="20"/>
      <c r="P37" s="62"/>
      <c r="Q37" s="225" t="s">
        <v>19</v>
      </c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7"/>
      <c r="AC37" s="3">
        <f>IF(CNG="SI",ROUND((VLOOKUP(Redd_Detraz,ConDetr,3)+VLOOKUP(Redd_Detraz,LettB,3))/12*Me_co,2),0)</f>
        <v>0</v>
      </c>
      <c r="AD37" s="20"/>
      <c r="AE37" s="20"/>
      <c r="AF37" s="62"/>
      <c r="AH37" s="184"/>
      <c r="AI37" s="315"/>
      <c r="AJ37" s="316"/>
      <c r="AK37" s="77"/>
      <c r="AL37" s="123">
        <v>10</v>
      </c>
      <c r="AM37" s="124">
        <f>ROUND(DetrConiuge-(Ind*Rapp),2)</f>
        <v>800</v>
      </c>
      <c r="AO37">
        <f>SUM(AO18:AO36)</f>
        <v>0</v>
      </c>
      <c r="AT37" s="77"/>
      <c r="AU37" s="256"/>
      <c r="AV37" s="257"/>
      <c r="AW37" s="258"/>
      <c r="AX37" s="77"/>
      <c r="AY37" s="77"/>
      <c r="AZ37" s="77"/>
      <c r="BA37" s="77"/>
      <c r="BB37" s="77"/>
      <c r="BC37" s="77"/>
      <c r="BD37" s="77"/>
      <c r="BE37" s="77"/>
      <c r="BF37" s="77"/>
      <c r="BG37" s="77"/>
    </row>
    <row r="38" spans="1:59" ht="13.5" thickBot="1">
      <c r="A38" s="225" t="s">
        <v>42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7"/>
      <c r="M38" s="3">
        <f>ROUND(AC38/12,0)</f>
        <v>0</v>
      </c>
      <c r="N38" s="20"/>
      <c r="O38" s="20"/>
      <c r="P38" s="62"/>
      <c r="Q38" s="225" t="s">
        <v>42</v>
      </c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7"/>
      <c r="AC38" s="3">
        <f>SUMIF(AB25:AB31,"&gt;0")</f>
        <v>0</v>
      </c>
      <c r="AD38" s="20"/>
      <c r="AE38" s="20"/>
      <c r="AF38" s="62"/>
      <c r="AH38" s="109">
        <f>IF(Lordo&gt;0,ROUND((VLOOKUP(Redd_Detraz,ConDetr,3)+VLOOKUP(Redd_Detraz,LettB,3)),5),0)</f>
        <v>0</v>
      </c>
      <c r="AI38" s="315"/>
      <c r="AJ38" s="110">
        <v>40000</v>
      </c>
      <c r="AK38" s="77"/>
      <c r="AL38" s="125"/>
      <c r="AM38" s="126">
        <f>+DetrRid</f>
        <v>690</v>
      </c>
      <c r="AT38" s="77"/>
      <c r="AU38" s="259"/>
      <c r="AV38" s="260"/>
      <c r="AW38" s="261"/>
      <c r="AX38" s="77"/>
      <c r="AY38" s="77"/>
      <c r="AZ38" s="77"/>
      <c r="BA38" s="77"/>
      <c r="BB38" s="77"/>
      <c r="BC38" s="77"/>
      <c r="BD38" s="77"/>
      <c r="BE38" s="77"/>
      <c r="BF38" s="77"/>
      <c r="BG38" s="77"/>
    </row>
    <row r="39" spans="1:59" ht="13.5" thickTop="1">
      <c r="A39" s="225" t="s">
        <v>56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7"/>
      <c r="M39" s="3">
        <f>IF(D33&gt;0,IF(P33&gt;0,ROUND(AC39/12,0),0),0)</f>
        <v>0</v>
      </c>
      <c r="N39" s="20"/>
      <c r="O39" s="20"/>
      <c r="P39" s="62"/>
      <c r="Q39" s="225" t="s">
        <v>56</v>
      </c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7"/>
      <c r="AC39" s="3">
        <f>IF(T33&gt;0,ROUND(dsaltri*T33/12*Y33/AF33,2),0)</f>
        <v>0</v>
      </c>
      <c r="AD39" s="20"/>
      <c r="AE39" s="20"/>
      <c r="AF39" s="62"/>
      <c r="AI39" s="315"/>
      <c r="AJ39" s="316">
        <v>80000</v>
      </c>
      <c r="AK39" s="77"/>
      <c r="AL39" s="118">
        <v>0</v>
      </c>
      <c r="AM39" s="119">
        <v>0</v>
      </c>
      <c r="AP39">
        <f>IF(AO37&gt;0,IF(VLOOKUP(AP42,abi,2)&lt;DetrRid,DetrRid,VLOOKUP(AP42,abi,2)),0)</f>
        <v>0</v>
      </c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</row>
    <row r="40" spans="1:59" ht="12.75">
      <c r="A40" s="172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4"/>
      <c r="Q40" s="172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4"/>
      <c r="AH40" s="184" t="s">
        <v>63</v>
      </c>
      <c r="AI40" s="315"/>
      <c r="AJ40" s="316"/>
      <c r="AK40" s="77"/>
      <c r="AL40" s="120">
        <v>0.0001</v>
      </c>
      <c r="AM40" s="121">
        <f>ROUND(DetrRid*Rap1,2)</f>
        <v>1380</v>
      </c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</row>
    <row r="41" spans="1:59" ht="12.75">
      <c r="A41" s="225" t="s">
        <v>76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7"/>
      <c r="M41" s="3">
        <f>SUM(M37:M39)</f>
        <v>0</v>
      </c>
      <c r="N41" s="20"/>
      <c r="O41" s="20"/>
      <c r="P41" s="62"/>
      <c r="Q41" s="225" t="s">
        <v>76</v>
      </c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7"/>
      <c r="AC41" s="3">
        <f>SUM(AC37:AC39)</f>
        <v>0</v>
      </c>
      <c r="AD41" s="20"/>
      <c r="AE41" s="20"/>
      <c r="AF41" s="62"/>
      <c r="AH41" s="184"/>
      <c r="AI41" s="315"/>
      <c r="AJ41" s="316"/>
      <c r="AK41" s="77"/>
      <c r="AL41" s="122">
        <v>1</v>
      </c>
      <c r="AM41" s="121">
        <f>ROUND(DetrRid*Rap1,2)</f>
        <v>1380</v>
      </c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</row>
    <row r="42" spans="1:59" ht="12.75">
      <c r="A42" s="165" t="s">
        <v>71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7"/>
      <c r="Q42" s="165" t="s">
        <v>71</v>
      </c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7"/>
      <c r="AH42" s="106">
        <f>dsfig+IF($V$25&gt;0,dsfg3-dsfig,0)+IF($Y$25&gt;0,dsfhc,0)</f>
        <v>0</v>
      </c>
      <c r="AI42" s="315"/>
      <c r="AJ42" s="316"/>
      <c r="AK42" s="77"/>
      <c r="AL42" s="123">
        <v>10</v>
      </c>
      <c r="AM42" s="124">
        <f>ROUND(DetrRid*Rap1,2)</f>
        <v>1380</v>
      </c>
      <c r="AP42" t="s">
        <v>58</v>
      </c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</row>
    <row r="43" spans="1:59" ht="12.75">
      <c r="A43" s="155" t="s">
        <v>73</v>
      </c>
      <c r="B43" s="156"/>
      <c r="C43" s="156"/>
      <c r="D43" s="156"/>
      <c r="E43" s="156"/>
      <c r="F43" s="157"/>
      <c r="G43" s="46" t="str">
        <f>IF(E17&gt;0,IF(G44&gt;0,Vuota1,"x"),Vuota1)</f>
        <v>        </v>
      </c>
      <c r="H43" s="63"/>
      <c r="I43" s="312" t="s">
        <v>141</v>
      </c>
      <c r="J43" s="158"/>
      <c r="K43" s="158"/>
      <c r="L43" s="158"/>
      <c r="M43" s="2">
        <v>30</v>
      </c>
      <c r="N43" s="20"/>
      <c r="O43" s="20"/>
      <c r="P43" s="62"/>
      <c r="Q43" s="155" t="s">
        <v>73</v>
      </c>
      <c r="R43" s="156"/>
      <c r="S43" s="156"/>
      <c r="T43" s="156"/>
      <c r="U43" s="156"/>
      <c r="V43" s="157"/>
      <c r="W43" s="46" t="str">
        <f>IF(W44&gt;0,Vuota1,"x")</f>
        <v>x</v>
      </c>
      <c r="X43" s="63"/>
      <c r="Y43" s="312" t="s">
        <v>75</v>
      </c>
      <c r="Z43" s="158"/>
      <c r="AA43" s="158"/>
      <c r="AB43" s="158"/>
      <c r="AC43" s="2">
        <v>365</v>
      </c>
      <c r="AD43" s="20"/>
      <c r="AE43" s="20"/>
      <c r="AF43" s="62"/>
      <c r="AI43" s="315"/>
      <c r="AJ43" s="114">
        <v>1000000000</v>
      </c>
      <c r="AK43" s="77"/>
      <c r="AL43" s="130">
        <v>0</v>
      </c>
      <c r="AM43" s="124">
        <v>0</v>
      </c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</row>
    <row r="44" spans="1:59" ht="12.75">
      <c r="A44" s="67" t="s">
        <v>74</v>
      </c>
      <c r="B44" s="68"/>
      <c r="C44" s="68"/>
      <c r="D44" s="68"/>
      <c r="E44" s="68"/>
      <c r="F44" s="20"/>
      <c r="G44" s="2"/>
      <c r="H44" s="63"/>
      <c r="I44" s="63"/>
      <c r="J44" s="63"/>
      <c r="K44" s="158" t="s">
        <v>77</v>
      </c>
      <c r="L44" s="158"/>
      <c r="M44" s="158"/>
      <c r="N44" s="159"/>
      <c r="O44" s="39">
        <f>IF(E17&gt;0,ROUND(AE44/365*M43,0),0)</f>
        <v>0</v>
      </c>
      <c r="P44" s="62"/>
      <c r="Q44" s="67" t="s">
        <v>74</v>
      </c>
      <c r="R44" s="68"/>
      <c r="S44" s="68"/>
      <c r="T44" s="68"/>
      <c r="U44" s="68"/>
      <c r="V44" s="20"/>
      <c r="W44" s="2">
        <f>+G44</f>
        <v>0</v>
      </c>
      <c r="X44" s="63"/>
      <c r="Y44" s="63"/>
      <c r="Z44" s="63"/>
      <c r="AA44" s="158" t="s">
        <v>77</v>
      </c>
      <c r="AB44" s="158"/>
      <c r="AC44" s="158"/>
      <c r="AD44" s="159"/>
      <c r="AE44" s="39">
        <f>IF(Lordo&gt;0,IF(W44&gt;0,IF(Redd_Detraz&lt;8000.01,IF(AH44&gt;AH47,AH44,AH47),AH44),IF(Redd_Detraz&lt;8000.01,IF(AH44&gt;AH46,AH44,AH46),AH44)),0)</f>
        <v>0</v>
      </c>
      <c r="AF44" s="62"/>
      <c r="AH44" s="373">
        <f>IF(Redd_Detraz&gt;0,ROUND((VLOOKUP(Redd_Detraz,Altre_detraz,2)/365*AC43+VLOOKUP(Redd_Detraz,Aum_altre,2)),5),0)</f>
        <v>0</v>
      </c>
      <c r="AI44" s="315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</row>
    <row r="45" spans="1:59" ht="12.75" customHeight="1" thickBot="1">
      <c r="A45" s="6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70"/>
      <c r="Q45" s="69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70"/>
      <c r="AI45" s="315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</row>
    <row r="46" spans="1:59" ht="12.75" customHeight="1" thickBot="1">
      <c r="A46" s="220" t="s">
        <v>142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2"/>
      <c r="O46" s="228">
        <f>+E17-L18</f>
        <v>0</v>
      </c>
      <c r="P46" s="228"/>
      <c r="Q46" s="71" t="s">
        <v>20</v>
      </c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228">
        <f>+Reddito_imponibile_mensile+Gratif_Anno</f>
        <v>0</v>
      </c>
      <c r="AF46" s="228"/>
      <c r="AH46" s="106">
        <v>690</v>
      </c>
      <c r="AI46" s="315"/>
      <c r="AJ46" s="106">
        <v>0.001</v>
      </c>
      <c r="AK46" s="87"/>
      <c r="AL46" s="106">
        <f>VLOOKUP(Rapp,quin,2)</f>
        <v>0</v>
      </c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</row>
    <row r="47" spans="1:59" ht="12.75" customHeight="1" thickBot="1">
      <c r="A47" s="220" t="s">
        <v>143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2"/>
      <c r="O47" s="162">
        <f>ROUND(IreTab/12,5)</f>
        <v>0</v>
      </c>
      <c r="P47" s="162"/>
      <c r="Q47" s="35" t="s">
        <v>60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14">
        <f>IF(Lordo&gt;0,IF(Reddito_imponibile_mensile&gt;0,ROUND((Reddito_imponibile_mensile-VLOOKUP(Reddito_imponibile_mensile,Aliquote,1))*VLOOKUP(Reddito_imponibile_mensile,Aliquote,3),5)+VLOOKUP(Reddito_imponibile_mensile,Aliquote,4),0)+IF(Gratif_Anno&gt;0,ROUND(Gratif_Anno*VLOOKUP(ReddNetto,Aliquote,3),5),0),0)</f>
        <v>0</v>
      </c>
      <c r="AF47" s="314"/>
      <c r="AH47" s="106">
        <v>1380</v>
      </c>
      <c r="AI47" s="315"/>
      <c r="AJ47" s="106">
        <v>15000</v>
      </c>
      <c r="AK47" s="87"/>
      <c r="AL47" s="106">
        <f>+DetrRid</f>
        <v>690</v>
      </c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</row>
    <row r="48" spans="1:59" ht="13.5" thickBot="1">
      <c r="A48" s="220" t="s">
        <v>144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2"/>
      <c r="O48" s="162">
        <f>+M41+O44</f>
        <v>0</v>
      </c>
      <c r="P48" s="162"/>
      <c r="Q48" s="37" t="s">
        <v>36</v>
      </c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162">
        <f>+AC41+AE44</f>
        <v>0</v>
      </c>
      <c r="AF48" s="162"/>
      <c r="AI48" s="315"/>
      <c r="AJ48" s="106">
        <v>40000</v>
      </c>
      <c r="AK48" s="87"/>
      <c r="AL48" s="106">
        <f>VLOOKUP(Rap1,ottan,2)</f>
        <v>1380</v>
      </c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</row>
    <row r="49" spans="1:59" ht="16.5" thickBot="1">
      <c r="A49" s="296" t="s">
        <v>147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97"/>
      <c r="O49" s="326">
        <f>IF(O47-O48&gt;0,O47-O48,0)</f>
        <v>0</v>
      </c>
      <c r="P49" s="178"/>
      <c r="Q49" s="71" t="s">
        <v>61</v>
      </c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177">
        <f>+AE47-AE48</f>
        <v>0</v>
      </c>
      <c r="AF49" s="178"/>
      <c r="AI49" s="315"/>
      <c r="AJ49" s="106">
        <v>80000</v>
      </c>
      <c r="AK49" s="87"/>
      <c r="AL49" s="106">
        <v>0</v>
      </c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</row>
    <row r="50" spans="1:59" ht="16.5" thickBot="1">
      <c r="A50" s="190" t="s">
        <v>146</v>
      </c>
      <c r="B50" s="190"/>
      <c r="C50" s="190"/>
      <c r="D50" s="190"/>
      <c r="E50" s="191" t="str">
        <f>IF(E17&gt;0,VLOOKUP(ReddNetto,Aliquote,3),Vuota1)</f>
        <v>        </v>
      </c>
      <c r="F50" s="191"/>
      <c r="G50" s="152"/>
      <c r="H50" s="152"/>
      <c r="I50" s="152"/>
      <c r="J50" s="152"/>
      <c r="K50" s="323" t="s">
        <v>131</v>
      </c>
      <c r="L50" s="323"/>
      <c r="M50" s="323"/>
      <c r="N50" s="323"/>
      <c r="O50" s="324">
        <f>+O49</f>
        <v>0</v>
      </c>
      <c r="P50" s="325"/>
      <c r="Q50" s="72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73"/>
      <c r="AI50" s="315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</row>
    <row r="51" spans="17:59" ht="12.75">
      <c r="Q51" s="57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62"/>
      <c r="AI51" s="315"/>
      <c r="AJ51" s="137">
        <v>0</v>
      </c>
      <c r="AK51" s="138"/>
      <c r="AL51" s="115">
        <v>0</v>
      </c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</row>
    <row r="52" spans="17:59" ht="13.5">
      <c r="Q52" s="168" t="s">
        <v>21</v>
      </c>
      <c r="R52" s="169"/>
      <c r="S52" s="169"/>
      <c r="T52" s="153"/>
      <c r="U52" s="163" t="s">
        <v>22</v>
      </c>
      <c r="V52" s="154"/>
      <c r="W52" s="164"/>
      <c r="X52" s="163" t="s">
        <v>23</v>
      </c>
      <c r="Y52" s="154"/>
      <c r="Z52" s="164"/>
      <c r="AA52" s="163" t="s">
        <v>24</v>
      </c>
      <c r="AB52" s="164"/>
      <c r="AC52" s="52" t="s">
        <v>25</v>
      </c>
      <c r="AD52" s="163" t="s">
        <v>26</v>
      </c>
      <c r="AE52" s="164"/>
      <c r="AF52" s="62"/>
      <c r="AI52" s="315"/>
      <c r="AJ52" s="139">
        <v>29000.01</v>
      </c>
      <c r="AK52" s="140"/>
      <c r="AL52" s="116">
        <v>10</v>
      </c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</row>
    <row r="53" spans="17:59" ht="12.75">
      <c r="Q53" s="163" t="s">
        <v>27</v>
      </c>
      <c r="R53" s="154"/>
      <c r="S53" s="154"/>
      <c r="T53" s="164"/>
      <c r="U53" s="53"/>
      <c r="V53" s="2">
        <v>1.4</v>
      </c>
      <c r="W53" s="53"/>
      <c r="X53" s="175">
        <f>+ReddNetto</f>
        <v>0</v>
      </c>
      <c r="Y53" s="219"/>
      <c r="Z53" s="176"/>
      <c r="AA53" s="175">
        <f>ROUND(X53*V53%,2)</f>
        <v>0</v>
      </c>
      <c r="AB53" s="176"/>
      <c r="AC53" s="2">
        <v>10</v>
      </c>
      <c r="AD53" s="175">
        <f>ROUND(AA53/AC53,2)</f>
        <v>0</v>
      </c>
      <c r="AE53" s="176"/>
      <c r="AF53" s="62"/>
      <c r="AI53" s="315"/>
      <c r="AJ53" s="139">
        <v>29200.01</v>
      </c>
      <c r="AK53" s="140"/>
      <c r="AL53" s="116">
        <v>20</v>
      </c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</row>
    <row r="54" spans="17:59" ht="12.75">
      <c r="Q54" s="163" t="s">
        <v>28</v>
      </c>
      <c r="R54" s="154"/>
      <c r="S54" s="154"/>
      <c r="T54" s="164"/>
      <c r="U54" s="53"/>
      <c r="V54" s="2">
        <v>0.4</v>
      </c>
      <c r="W54" s="53"/>
      <c r="X54" s="175">
        <f>+ReddNetto</f>
        <v>0</v>
      </c>
      <c r="Y54" s="219"/>
      <c r="Z54" s="176"/>
      <c r="AA54" s="175">
        <f>ROUND(X54*V54%,2)</f>
        <v>0</v>
      </c>
      <c r="AB54" s="176"/>
      <c r="AC54" s="52" t="s">
        <v>25</v>
      </c>
      <c r="AD54" s="163" t="s">
        <v>26</v>
      </c>
      <c r="AE54" s="164"/>
      <c r="AF54" s="62"/>
      <c r="AI54" s="315"/>
      <c r="AJ54" s="139">
        <v>34700.01</v>
      </c>
      <c r="AK54" s="140"/>
      <c r="AL54" s="116">
        <v>30</v>
      </c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</row>
    <row r="55" spans="17:59" ht="12.75">
      <c r="Q55" s="282" t="s">
        <v>87</v>
      </c>
      <c r="R55" s="282"/>
      <c r="S55" s="84">
        <v>16</v>
      </c>
      <c r="T55" s="282" t="s">
        <v>88</v>
      </c>
      <c r="U55" s="282"/>
      <c r="V55" s="282"/>
      <c r="W55" s="282"/>
      <c r="X55" s="283" t="s">
        <v>89</v>
      </c>
      <c r="Y55" s="283"/>
      <c r="Z55" s="50" t="s">
        <v>79</v>
      </c>
      <c r="AA55" s="51"/>
      <c r="AB55" s="39">
        <f>ROUND(AA54*30%,2)</f>
        <v>0</v>
      </c>
      <c r="AC55" s="2">
        <v>10</v>
      </c>
      <c r="AD55" s="175">
        <f>ROUND(AB55/AC55,2)</f>
        <v>0</v>
      </c>
      <c r="AE55" s="176"/>
      <c r="AF55" s="62"/>
      <c r="AI55" s="315"/>
      <c r="AJ55" s="139">
        <v>35000.01</v>
      </c>
      <c r="AK55" s="140"/>
      <c r="AL55" s="116">
        <v>20</v>
      </c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</row>
    <row r="56" spans="17:59" ht="12.75">
      <c r="Q56" s="57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62"/>
      <c r="AI56" s="315"/>
      <c r="AJ56" s="139">
        <v>35100.01</v>
      </c>
      <c r="AK56" s="140"/>
      <c r="AL56" s="116">
        <v>10</v>
      </c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</row>
    <row r="57" spans="17:59" ht="12.75" customHeight="1" thickBot="1">
      <c r="Q57" s="57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62"/>
      <c r="AI57" s="315"/>
      <c r="AJ57" s="141">
        <v>35200.01</v>
      </c>
      <c r="AK57" s="142"/>
      <c r="AL57" s="117">
        <v>0</v>
      </c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</row>
    <row r="58" spans="17:59" ht="12.75">
      <c r="Q58" s="74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</row>
    <row r="59" spans="35:39" ht="12.75">
      <c r="AI59" t="s">
        <v>46</v>
      </c>
      <c r="AJ59" s="19" t="s">
        <v>47</v>
      </c>
      <c r="AK59" s="171" t="s">
        <v>52</v>
      </c>
      <c r="AL59" s="18" t="s">
        <v>48</v>
      </c>
      <c r="AM59" s="18" t="s">
        <v>53</v>
      </c>
    </row>
    <row r="60" spans="36:39" ht="12.75">
      <c r="AJ60" s="86">
        <v>95000</v>
      </c>
      <c r="AK60" s="171"/>
      <c r="AL60" s="106">
        <v>15000</v>
      </c>
      <c r="AM60" s="106">
        <f>IF(AK61&gt;1,ROUND((AK61-1)*AL60,2)+AJ60,AJ60)</f>
        <v>95000</v>
      </c>
    </row>
    <row r="61" spans="36:41" ht="12.75">
      <c r="AJ61" s="18" t="s">
        <v>55</v>
      </c>
      <c r="AK61" s="87">
        <f>+N_Fgl</f>
        <v>0</v>
      </c>
      <c r="AL61" s="18" t="s">
        <v>54</v>
      </c>
      <c r="AM61" s="18" t="s">
        <v>45</v>
      </c>
      <c r="AN61" s="18"/>
      <c r="AO61" s="18" t="s">
        <v>41</v>
      </c>
    </row>
    <row r="62" spans="35:44" ht="12.75">
      <c r="AI62" t="s">
        <v>51</v>
      </c>
      <c r="AJ62" s="106">
        <f>IF(Som_fg&gt;3,1000,800)</f>
        <v>800</v>
      </c>
      <c r="AL62" s="106">
        <f>ROUND(fgl*VLOOKUP($AO$62,IndRapp,2),2)</f>
        <v>0</v>
      </c>
      <c r="AM62" s="112">
        <v>0</v>
      </c>
      <c r="AN62" s="77">
        <v>0</v>
      </c>
      <c r="AO62" s="83">
        <f>ROUND((ImFisFin-Redd_Detraz)/ImFisFin,6)</f>
        <v>1</v>
      </c>
      <c r="AQ62" s="87">
        <f>+dsfig</f>
        <v>0</v>
      </c>
      <c r="AR62" s="87">
        <f>+AQ62</f>
        <v>0</v>
      </c>
    </row>
    <row r="63" spans="35:44" ht="12.75">
      <c r="AI63" t="s">
        <v>49</v>
      </c>
      <c r="AJ63" s="106">
        <f>IF(Som_fg&gt;3,1100,900)</f>
        <v>900</v>
      </c>
      <c r="AL63" s="106">
        <f>ROUND(AJ63*VLOOKUP($AO$62,IndRapp,2),2)</f>
        <v>0</v>
      </c>
      <c r="AM63" s="113">
        <v>0.0001</v>
      </c>
      <c r="AN63" s="77">
        <f>+AO62</f>
        <v>1</v>
      </c>
      <c r="AQ63" s="87">
        <f>+dsfg3</f>
        <v>0</v>
      </c>
      <c r="AR63" s="87">
        <f>+AQ63</f>
        <v>0</v>
      </c>
    </row>
    <row r="64" spans="35:44" ht="12.75">
      <c r="AI64" t="s">
        <v>50</v>
      </c>
      <c r="AJ64" s="106">
        <v>220</v>
      </c>
      <c r="AL64" s="106">
        <f>ROUND(fglh*VLOOKUP($AO$62,IndRapp,2),2)</f>
        <v>0</v>
      </c>
      <c r="AM64" s="110">
        <v>1</v>
      </c>
      <c r="AN64" s="77">
        <v>0</v>
      </c>
      <c r="AQ64" s="87">
        <f>+dsfhc</f>
        <v>0</v>
      </c>
      <c r="AR64" s="87">
        <f>+AQ64</f>
        <v>0</v>
      </c>
    </row>
    <row r="65" spans="38:40" ht="12.75">
      <c r="AL65" s="85"/>
      <c r="AM65" s="110">
        <v>10</v>
      </c>
      <c r="AN65" s="77">
        <f>+AO62</f>
        <v>1</v>
      </c>
    </row>
    <row r="66" spans="35:38" ht="12.75">
      <c r="AI66" t="s">
        <v>57</v>
      </c>
      <c r="AJ66" s="87">
        <v>750</v>
      </c>
      <c r="AL66" s="106">
        <f>ROUND(Altri*VLOOKUP(AO67,Rapp_Altri,2),4)</f>
        <v>0</v>
      </c>
    </row>
    <row r="67" ht="12.75">
      <c r="AO67" s="83">
        <f>TRUNC((80000-Redd_Detraz)/80000,6)</f>
        <v>1</v>
      </c>
    </row>
    <row r="68" spans="35:41" ht="12.75">
      <c r="AI68" t="s">
        <v>72</v>
      </c>
      <c r="AL68" t="s">
        <v>41</v>
      </c>
      <c r="AN68" s="131">
        <v>0</v>
      </c>
      <c r="AO68" s="87">
        <v>0</v>
      </c>
    </row>
    <row r="69" spans="35:41" ht="12.75">
      <c r="AI69" s="106">
        <v>1</v>
      </c>
      <c r="AJ69" s="106">
        <v>1840</v>
      </c>
      <c r="AL69" s="83">
        <f>IF(ROUND((15000-Redd_Detraz)/7000,6)&gt;0,ROUND((15000-Redd_Detraz)/7000,6),0)</f>
        <v>2.142857</v>
      </c>
      <c r="AN69" s="132">
        <v>0.0001</v>
      </c>
      <c r="AO69" s="133">
        <f>+AO67</f>
        <v>1</v>
      </c>
    </row>
    <row r="70" spans="35:41" ht="12.75">
      <c r="AI70" s="106">
        <v>8000.01</v>
      </c>
      <c r="AJ70" s="106">
        <f>1338+ROUND(502*AL69,2)</f>
        <v>2413.71</v>
      </c>
      <c r="AL70">
        <f>ROUND((55000-Redd_Detraz)/40000,6)</f>
        <v>1.375</v>
      </c>
      <c r="AN70" s="107">
        <v>1</v>
      </c>
      <c r="AO70" s="87">
        <v>0</v>
      </c>
    </row>
    <row r="71" spans="35:41" ht="12.75">
      <c r="AI71" s="106">
        <v>15000.01</v>
      </c>
      <c r="AJ71" s="106">
        <f>ROUND(1338*AL70,2)</f>
        <v>1839.75</v>
      </c>
      <c r="AN71" s="107">
        <v>10</v>
      </c>
      <c r="AO71" s="133">
        <f>+AO67</f>
        <v>1</v>
      </c>
    </row>
    <row r="72" spans="35:41" ht="12.75">
      <c r="AI72" s="106">
        <v>55000.01</v>
      </c>
      <c r="AJ72" s="106">
        <v>0</v>
      </c>
      <c r="AN72" s="12"/>
      <c r="AO72" s="83"/>
    </row>
    <row r="73" spans="35:36" ht="12.75">
      <c r="AI73" s="106">
        <v>100000000</v>
      </c>
      <c r="AJ73" s="106">
        <v>0</v>
      </c>
    </row>
    <row r="75" spans="35:36" ht="12.75">
      <c r="AI75" s="108">
        <v>0</v>
      </c>
      <c r="AJ75" s="87">
        <v>0</v>
      </c>
    </row>
    <row r="76" spans="35:36" ht="12.75">
      <c r="AI76" s="108">
        <v>23000.01</v>
      </c>
      <c r="AJ76" s="87">
        <v>10</v>
      </c>
    </row>
    <row r="77" spans="35:36" ht="12.75">
      <c r="AI77" s="108">
        <v>24000.01</v>
      </c>
      <c r="AJ77" s="87">
        <v>20</v>
      </c>
    </row>
    <row r="78" spans="35:36" ht="12.75">
      <c r="AI78" s="108">
        <v>25000.01</v>
      </c>
      <c r="AJ78" s="87">
        <v>30</v>
      </c>
    </row>
    <row r="79" spans="35:36" ht="12.75">
      <c r="AI79" s="108">
        <v>26000.01</v>
      </c>
      <c r="AJ79" s="87">
        <v>40</v>
      </c>
    </row>
    <row r="80" spans="35:36" ht="12.75">
      <c r="AI80" s="108">
        <v>27700.01</v>
      </c>
      <c r="AJ80" s="87">
        <v>25</v>
      </c>
    </row>
    <row r="81" spans="1:36" ht="12.75">
      <c r="A81" s="4"/>
      <c r="AI81" s="108">
        <v>28000.01</v>
      </c>
      <c r="AJ81" s="87">
        <v>0</v>
      </c>
    </row>
    <row r="111" ht="12.75">
      <c r="A111" s="4" t="s">
        <v>100</v>
      </c>
    </row>
    <row r="124" ht="12.75">
      <c r="A124" s="90"/>
    </row>
  </sheetData>
  <sheetProtection password="BE24" sheet="1" objects="1" scenarios="1" selectLockedCells="1"/>
  <mergeCells count="164">
    <mergeCell ref="O50:P50"/>
    <mergeCell ref="X12:AA12"/>
    <mergeCell ref="H11:K11"/>
    <mergeCell ref="X11:AA11"/>
    <mergeCell ref="O48:P48"/>
    <mergeCell ref="O49:P49"/>
    <mergeCell ref="A37:L37"/>
    <mergeCell ref="A38:L38"/>
    <mergeCell ref="H24:J24"/>
    <mergeCell ref="H12:K12"/>
    <mergeCell ref="E9:G9"/>
    <mergeCell ref="H9:K9"/>
    <mergeCell ref="E10:G10"/>
    <mergeCell ref="H10:K10"/>
    <mergeCell ref="M6:P6"/>
    <mergeCell ref="O47:P47"/>
    <mergeCell ref="A39:L39"/>
    <mergeCell ref="A40:P40"/>
    <mergeCell ref="A41:L41"/>
    <mergeCell ref="A42:P42"/>
    <mergeCell ref="A35:P35"/>
    <mergeCell ref="A36:P36"/>
    <mergeCell ref="E11:G11"/>
    <mergeCell ref="E12:G12"/>
    <mergeCell ref="A43:F43"/>
    <mergeCell ref="I43:L43"/>
    <mergeCell ref="K44:N44"/>
    <mergeCell ref="O46:P46"/>
    <mergeCell ref="A46:N46"/>
    <mergeCell ref="M25:O27"/>
    <mergeCell ref="B24:D24"/>
    <mergeCell ref="E24:G24"/>
    <mergeCell ref="P25:P27"/>
    <mergeCell ref="A33:C33"/>
    <mergeCell ref="K33:O34"/>
    <mergeCell ref="P33:P34"/>
    <mergeCell ref="M28:P29"/>
    <mergeCell ref="E13:G13"/>
    <mergeCell ref="E14:G14"/>
    <mergeCell ref="E15:G15"/>
    <mergeCell ref="H15:K15"/>
    <mergeCell ref="H14:K14"/>
    <mergeCell ref="H13:K13"/>
    <mergeCell ref="E8:G8"/>
    <mergeCell ref="H8:K8"/>
    <mergeCell ref="D5:I5"/>
    <mergeCell ref="J5:L5"/>
    <mergeCell ref="C6:G6"/>
    <mergeCell ref="A7:G7"/>
    <mergeCell ref="H7:L7"/>
    <mergeCell ref="A6:B6"/>
    <mergeCell ref="I6:K6"/>
    <mergeCell ref="N5:P5"/>
    <mergeCell ref="A1:P1"/>
    <mergeCell ref="A2:P2"/>
    <mergeCell ref="A3:P3"/>
    <mergeCell ref="J4:K4"/>
    <mergeCell ref="B4:G4"/>
    <mergeCell ref="Q1:AF1"/>
    <mergeCell ref="Q2:AF2"/>
    <mergeCell ref="AF33:AF34"/>
    <mergeCell ref="U15:W15"/>
    <mergeCell ref="Q7:W7"/>
    <mergeCell ref="Q6:S6"/>
    <mergeCell ref="Q20:AF20"/>
    <mergeCell ref="U10:W10"/>
    <mergeCell ref="U11:W11"/>
    <mergeCell ref="U12:W12"/>
    <mergeCell ref="AH36:AH37"/>
    <mergeCell ref="AH40:AH41"/>
    <mergeCell ref="AI1:AL1"/>
    <mergeCell ref="AI12:AM12"/>
    <mergeCell ref="AI19:AI57"/>
    <mergeCell ref="AJ19:AJ37"/>
    <mergeCell ref="AJ39:AJ42"/>
    <mergeCell ref="Q3:AF3"/>
    <mergeCell ref="T5:Y5"/>
    <mergeCell ref="Z5:AB5"/>
    <mergeCell ref="AK59:AK60"/>
    <mergeCell ref="Q40:AF40"/>
    <mergeCell ref="AA54:AB54"/>
    <mergeCell ref="AE49:AF49"/>
    <mergeCell ref="AE47:AF47"/>
    <mergeCell ref="AA52:AB52"/>
    <mergeCell ref="AD53:AE53"/>
    <mergeCell ref="AD55:AE55"/>
    <mergeCell ref="AD54:AE54"/>
    <mergeCell ref="Q42:AF42"/>
    <mergeCell ref="Q52:T52"/>
    <mergeCell ref="AA53:AB53"/>
    <mergeCell ref="X53:Z53"/>
    <mergeCell ref="U52:W52"/>
    <mergeCell ref="Q53:T53"/>
    <mergeCell ref="Q54:T54"/>
    <mergeCell ref="Q55:R55"/>
    <mergeCell ref="AC25:AE27"/>
    <mergeCell ref="AA33:AE34"/>
    <mergeCell ref="AD52:AE52"/>
    <mergeCell ref="AE48:AF48"/>
    <mergeCell ref="AE46:AF46"/>
    <mergeCell ref="Y43:AB43"/>
    <mergeCell ref="AA44:AD44"/>
    <mergeCell ref="X52:Z52"/>
    <mergeCell ref="Q33:S33"/>
    <mergeCell ref="Q21:S21"/>
    <mergeCell ref="Q43:V43"/>
    <mergeCell ref="Q39:AB39"/>
    <mergeCell ref="Q36:AF36"/>
    <mergeCell ref="AF25:AF27"/>
    <mergeCell ref="R24:T24"/>
    <mergeCell ref="U24:W24"/>
    <mergeCell ref="X24:Z24"/>
    <mergeCell ref="Q35:AF35"/>
    <mergeCell ref="T55:W55"/>
    <mergeCell ref="X55:Y55"/>
    <mergeCell ref="X14:AA14"/>
    <mergeCell ref="U13:W13"/>
    <mergeCell ref="X13:AA13"/>
    <mergeCell ref="X17:AA17"/>
    <mergeCell ref="X54:Z54"/>
    <mergeCell ref="U17:W17"/>
    <mergeCell ref="Q41:AB41"/>
    <mergeCell ref="Q38:AB38"/>
    <mergeCell ref="AU1:AW2"/>
    <mergeCell ref="AU21:AW25"/>
    <mergeCell ref="AU4:AW4"/>
    <mergeCell ref="AU5:AW5"/>
    <mergeCell ref="AU3:AW3"/>
    <mergeCell ref="X15:AA15"/>
    <mergeCell ref="U9:W9"/>
    <mergeCell ref="X7:AB7"/>
    <mergeCell ref="X9:AA9"/>
    <mergeCell ref="X10:AA10"/>
    <mergeCell ref="U8:W8"/>
    <mergeCell ref="X8:AA8"/>
    <mergeCell ref="Z4:AA4"/>
    <mergeCell ref="V6:Z6"/>
    <mergeCell ref="AB6:AC6"/>
    <mergeCell ref="T6:U6"/>
    <mergeCell ref="AD5:AF5"/>
    <mergeCell ref="AU30:AW38"/>
    <mergeCell ref="A15:D15"/>
    <mergeCell ref="A14:D14"/>
    <mergeCell ref="U14:W14"/>
    <mergeCell ref="E17:G17"/>
    <mergeCell ref="A20:P20"/>
    <mergeCell ref="X16:AA16"/>
    <mergeCell ref="A21:C21"/>
    <mergeCell ref="AC16:AD16"/>
    <mergeCell ref="A47:N47"/>
    <mergeCell ref="Q16:T16"/>
    <mergeCell ref="U16:W16"/>
    <mergeCell ref="H17:K17"/>
    <mergeCell ref="H16:K16"/>
    <mergeCell ref="A16:D16"/>
    <mergeCell ref="E16:G16"/>
    <mergeCell ref="H18:K18"/>
    <mergeCell ref="A17:D17"/>
    <mergeCell ref="Q37:AB37"/>
    <mergeCell ref="A48:N48"/>
    <mergeCell ref="A49:N49"/>
    <mergeCell ref="A50:D50"/>
    <mergeCell ref="E50:F50"/>
    <mergeCell ref="K50:N50"/>
  </mergeCells>
  <conditionalFormatting sqref="Z27">
    <cfRule type="expression" priority="1" dxfId="0" stopIfTrue="1">
      <formula>$T$23&gt;2</formula>
    </cfRule>
  </conditionalFormatting>
  <conditionalFormatting sqref="Z28">
    <cfRule type="expression" priority="2" dxfId="0" stopIfTrue="1">
      <formula>$T$23&gt;3</formula>
    </cfRule>
  </conditionalFormatting>
  <conditionalFormatting sqref="Z29">
    <cfRule type="expression" priority="3" dxfId="0" stopIfTrue="1">
      <formula>$T$23&gt;4</formula>
    </cfRule>
  </conditionalFormatting>
  <conditionalFormatting sqref="Z30">
    <cfRule type="expression" priority="4" dxfId="0" stopIfTrue="1">
      <formula>$T$23&gt;5</formula>
    </cfRule>
  </conditionalFormatting>
  <conditionalFormatting sqref="Z31">
    <cfRule type="expression" priority="5" dxfId="0" stopIfTrue="1">
      <formula>$T$23&gt;6</formula>
    </cfRule>
  </conditionalFormatting>
  <conditionalFormatting sqref="AB25">
    <cfRule type="expression" priority="6" dxfId="1" stopIfTrue="1">
      <formula>$T$23&gt;0</formula>
    </cfRule>
  </conditionalFormatting>
  <conditionalFormatting sqref="AB26">
    <cfRule type="expression" priority="7" dxfId="1" stopIfTrue="1">
      <formula>$T$23&gt;1</formula>
    </cfRule>
  </conditionalFormatting>
  <conditionalFormatting sqref="AB27">
    <cfRule type="expression" priority="8" dxfId="1" stopIfTrue="1">
      <formula>$T$23&gt;2</formula>
    </cfRule>
  </conditionalFormatting>
  <conditionalFormatting sqref="AB28">
    <cfRule type="expression" priority="9" dxfId="1" stopIfTrue="1">
      <formula>$T$23&gt;3</formula>
    </cfRule>
  </conditionalFormatting>
  <conditionalFormatting sqref="AB29">
    <cfRule type="expression" priority="10" dxfId="1" stopIfTrue="1">
      <formula>$T$23&gt;4</formula>
    </cfRule>
  </conditionalFormatting>
  <conditionalFormatting sqref="AB30">
    <cfRule type="expression" priority="11" dxfId="1" stopIfTrue="1">
      <formula>$T$23&gt;5</formula>
    </cfRule>
  </conditionalFormatting>
  <conditionalFormatting sqref="AB31">
    <cfRule type="expression" priority="12" dxfId="1" stopIfTrue="1">
      <formula>$T$23&gt;6</formula>
    </cfRule>
  </conditionalFormatting>
  <conditionalFormatting sqref="Q26">
    <cfRule type="expression" priority="13" dxfId="2" stopIfTrue="1">
      <formula>$T$23&gt;1</formula>
    </cfRule>
  </conditionalFormatting>
  <conditionalFormatting sqref="Q25 T25 W25 Z25 G25 D25">
    <cfRule type="expression" priority="14" dxfId="2" stopIfTrue="1">
      <formula>$T$23&gt;0</formula>
    </cfRule>
  </conditionalFormatting>
  <conditionalFormatting sqref="R25 J25:K25">
    <cfRule type="expression" priority="15" dxfId="3" stopIfTrue="1">
      <formula>$T$23&gt;0</formula>
    </cfRule>
  </conditionalFormatting>
  <conditionalFormatting sqref="U25 X25 E25 H25">
    <cfRule type="expression" priority="16" dxfId="4" stopIfTrue="1">
      <formula>$T$23&gt;0</formula>
    </cfRule>
  </conditionalFormatting>
  <conditionalFormatting sqref="Y21">
    <cfRule type="expression" priority="17" dxfId="5" stopIfTrue="1">
      <formula>$T$21="si"</formula>
    </cfRule>
  </conditionalFormatting>
  <conditionalFormatting sqref="AD23 AA25 C25 F25 I25 V25:V31 S25:S31 Y25:Y31">
    <cfRule type="expression" priority="18" dxfId="5" stopIfTrue="1">
      <formula>$T$23&gt;0</formula>
    </cfRule>
  </conditionalFormatting>
  <conditionalFormatting sqref="AF23">
    <cfRule type="expression" priority="19" dxfId="5" stopIfTrue="1">
      <formula>$AD$23&gt;0</formula>
    </cfRule>
  </conditionalFormatting>
  <conditionalFormatting sqref="F26 C26 I26 AA26">
    <cfRule type="expression" priority="20" dxfId="5" stopIfTrue="1">
      <formula>$T$23&gt;1</formula>
    </cfRule>
  </conditionalFormatting>
  <conditionalFormatting sqref="F27 C27 I27 AA27">
    <cfRule type="expression" priority="21" dxfId="5" stopIfTrue="1">
      <formula>$T$23&gt;2</formula>
    </cfRule>
  </conditionalFormatting>
  <conditionalFormatting sqref="F28 C28 I28 AA28">
    <cfRule type="expression" priority="22" dxfId="5" stopIfTrue="1">
      <formula>$T$23&gt;3</formula>
    </cfRule>
  </conditionalFormatting>
  <conditionalFormatting sqref="F29 C29 I29 AA29">
    <cfRule type="expression" priority="23" dxfId="5" stopIfTrue="1">
      <formula>$T$23&gt;4</formula>
    </cfRule>
  </conditionalFormatting>
  <conditionalFormatting sqref="AA30">
    <cfRule type="expression" priority="24" dxfId="5" stopIfTrue="1">
      <formula>$T$23&gt;5</formula>
    </cfRule>
  </conditionalFormatting>
  <conditionalFormatting sqref="AA31">
    <cfRule type="expression" priority="25" dxfId="5" stopIfTrue="1">
      <formula>$T$23&gt;6</formula>
    </cfRule>
  </conditionalFormatting>
  <conditionalFormatting sqref="Y34">
    <cfRule type="expression" priority="26" dxfId="5" stopIfTrue="1">
      <formula>$T$33="si"</formula>
    </cfRule>
  </conditionalFormatting>
  <conditionalFormatting sqref="Y33 AF33:AF34 P33:P34">
    <cfRule type="expression" priority="27" dxfId="5" stopIfTrue="1">
      <formula>$T$33&gt;0</formula>
    </cfRule>
  </conditionalFormatting>
  <conditionalFormatting sqref="AA33:AE34 K33:O34">
    <cfRule type="expression" priority="28" dxfId="1" stopIfTrue="1">
      <formula>$T$33&gt;0</formula>
    </cfRule>
  </conditionalFormatting>
  <conditionalFormatting sqref="R26 T26:U26 W26:X26 Z26 G26:H26 D26:E26 J26:K26">
    <cfRule type="expression" priority="29" dxfId="3" stopIfTrue="1">
      <formula>$T$23&gt;1</formula>
    </cfRule>
  </conditionalFormatting>
  <conditionalFormatting sqref="R27 T27:U27 W27:X27 G27:H27 D27:E27 J27:K27">
    <cfRule type="expression" priority="30" dxfId="3" stopIfTrue="1">
      <formula>$T$23&gt;2</formula>
    </cfRule>
  </conditionalFormatting>
  <conditionalFormatting sqref="Q27">
    <cfRule type="expression" priority="31" dxfId="2" stopIfTrue="1">
      <formula>$T$23&gt;2</formula>
    </cfRule>
  </conditionalFormatting>
  <conditionalFormatting sqref="Q28">
    <cfRule type="expression" priority="32" dxfId="2" stopIfTrue="1">
      <formula>$T$23&gt;3</formula>
    </cfRule>
  </conditionalFormatting>
  <conditionalFormatting sqref="R28 T28:U28 W28:X28 G28:H28 D28:E28 J28:K28">
    <cfRule type="expression" priority="33" dxfId="3" stopIfTrue="1">
      <formula>$T$23&gt;3</formula>
    </cfRule>
  </conditionalFormatting>
  <conditionalFormatting sqref="Q29">
    <cfRule type="expression" priority="34" dxfId="2" stopIfTrue="1">
      <formula>$T$23&gt;4</formula>
    </cfRule>
  </conditionalFormatting>
  <conditionalFormatting sqref="R29 T29:U29 W29:X29 G29:H29 D29:E29 J29:K29">
    <cfRule type="expression" priority="35" dxfId="3" stopIfTrue="1">
      <formula>$T$23&gt;4</formula>
    </cfRule>
  </conditionalFormatting>
  <conditionalFormatting sqref="Q30">
    <cfRule type="expression" priority="36" dxfId="2" stopIfTrue="1">
      <formula>$T$23&gt;5</formula>
    </cfRule>
  </conditionalFormatting>
  <conditionalFormatting sqref="R30 T30:U30 W30:X30">
    <cfRule type="expression" priority="37" dxfId="3" stopIfTrue="1">
      <formula>$T$23&gt;5</formula>
    </cfRule>
  </conditionalFormatting>
  <conditionalFormatting sqref="Q31">
    <cfRule type="expression" priority="38" dxfId="2" stopIfTrue="1">
      <formula>$T$23&gt;6</formula>
    </cfRule>
  </conditionalFormatting>
  <conditionalFormatting sqref="R31 T31:U31 W31:X31">
    <cfRule type="expression" priority="39" dxfId="3" stopIfTrue="1">
      <formula>$T$23&gt;6</formula>
    </cfRule>
  </conditionalFormatting>
  <conditionalFormatting sqref="L25">
    <cfRule type="expression" priority="40" dxfId="1" stopIfTrue="1">
      <formula>$D$23&gt;0</formula>
    </cfRule>
  </conditionalFormatting>
  <conditionalFormatting sqref="N23">
    <cfRule type="expression" priority="41" dxfId="5" stopIfTrue="1">
      <formula>$D$23&gt;0</formula>
    </cfRule>
  </conditionalFormatting>
  <conditionalFormatting sqref="C30 F30 I30">
    <cfRule type="expression" priority="42" dxfId="5" stopIfTrue="1">
      <formula>$D$23&gt;5</formula>
    </cfRule>
  </conditionalFormatting>
  <conditionalFormatting sqref="C31 F31 I31">
    <cfRule type="expression" priority="43" dxfId="5" stopIfTrue="1">
      <formula>$D$23&gt;6</formula>
    </cfRule>
  </conditionalFormatting>
  <conditionalFormatting sqref="I34">
    <cfRule type="expression" priority="44" dxfId="5" stopIfTrue="1">
      <formula>$D$33="si"</formula>
    </cfRule>
  </conditionalFormatting>
  <conditionalFormatting sqref="A30">
    <cfRule type="expression" priority="45" dxfId="2" stopIfTrue="1">
      <formula>$D$23&gt;5</formula>
    </cfRule>
  </conditionalFormatting>
  <conditionalFormatting sqref="G30:H30 D30:E30 B30 J30:K30">
    <cfRule type="expression" priority="46" dxfId="3" stopIfTrue="1">
      <formula>$D$23&gt;5</formula>
    </cfRule>
  </conditionalFormatting>
  <conditionalFormatting sqref="A31">
    <cfRule type="expression" priority="47" dxfId="2" stopIfTrue="1">
      <formula>$D$23&gt;6</formula>
    </cfRule>
  </conditionalFormatting>
  <conditionalFormatting sqref="G31:H31 D31:E31 B31 J31:K31">
    <cfRule type="expression" priority="48" dxfId="3" stopIfTrue="1">
      <formula>$D$23&gt;6</formula>
    </cfRule>
  </conditionalFormatting>
  <conditionalFormatting sqref="A26">
    <cfRule type="expression" priority="49" dxfId="2" stopIfTrue="1">
      <formula>$D$23&gt;1</formula>
    </cfRule>
  </conditionalFormatting>
  <conditionalFormatting sqref="A25">
    <cfRule type="expression" priority="50" dxfId="2" stopIfTrue="1">
      <formula>$D$23&gt;0</formula>
    </cfRule>
  </conditionalFormatting>
  <conditionalFormatting sqref="B25">
    <cfRule type="expression" priority="51" dxfId="3" stopIfTrue="1">
      <formula>$D$23&gt;0</formula>
    </cfRule>
  </conditionalFormatting>
  <conditionalFormatting sqref="B26">
    <cfRule type="expression" priority="52" dxfId="3" stopIfTrue="1">
      <formula>$D$23&gt;1</formula>
    </cfRule>
  </conditionalFormatting>
  <conditionalFormatting sqref="B27">
    <cfRule type="expression" priority="53" dxfId="3" stopIfTrue="1">
      <formula>$D$23&gt;2</formula>
    </cfRule>
  </conditionalFormatting>
  <conditionalFormatting sqref="A27">
    <cfRule type="expression" priority="54" dxfId="2" stopIfTrue="1">
      <formula>$D$23&gt;2</formula>
    </cfRule>
  </conditionalFormatting>
  <conditionalFormatting sqref="A28">
    <cfRule type="expression" priority="55" dxfId="2" stopIfTrue="1">
      <formula>$D$23&gt;3</formula>
    </cfRule>
  </conditionalFormatting>
  <conditionalFormatting sqref="B28">
    <cfRule type="expression" priority="56" dxfId="3" stopIfTrue="1">
      <formula>$D$23&gt;3</formula>
    </cfRule>
  </conditionalFormatting>
  <conditionalFormatting sqref="A29">
    <cfRule type="expression" priority="57" dxfId="2" stopIfTrue="1">
      <formula>$D$23&gt;4</formula>
    </cfRule>
  </conditionalFormatting>
  <conditionalFormatting sqref="B29">
    <cfRule type="expression" priority="58" dxfId="3" stopIfTrue="1">
      <formula>$D$23&gt;4</formula>
    </cfRule>
  </conditionalFormatting>
  <conditionalFormatting sqref="L27">
    <cfRule type="expression" priority="59" dxfId="1" stopIfTrue="1">
      <formula>$D$23&gt;2</formula>
    </cfRule>
  </conditionalFormatting>
  <conditionalFormatting sqref="L28">
    <cfRule type="expression" priority="60" dxfId="1" stopIfTrue="1">
      <formula>$D$23&gt;3</formula>
    </cfRule>
  </conditionalFormatting>
  <conditionalFormatting sqref="L29">
    <cfRule type="expression" priority="61" dxfId="1" stopIfTrue="1">
      <formula>$D$23&gt;4</formula>
    </cfRule>
  </conditionalFormatting>
  <conditionalFormatting sqref="L30">
    <cfRule type="expression" priority="62" dxfId="1" stopIfTrue="1">
      <formula>$D$23&gt;5</formula>
    </cfRule>
  </conditionalFormatting>
  <conditionalFormatting sqref="L31">
    <cfRule type="expression" priority="63" dxfId="1" stopIfTrue="1">
      <formula>$D$23&gt;6</formula>
    </cfRule>
  </conditionalFormatting>
  <conditionalFormatting sqref="L26">
    <cfRule type="expression" priority="64" dxfId="1" stopIfTrue="1">
      <formula>$D$23&gt;1</formula>
    </cfRule>
  </conditionalFormatting>
  <printOptions/>
  <pageMargins left="0.1968503937007874" right="0" top="0.984251968503937" bottom="0.5905511811023623" header="0.5118110236220472" footer="0.5118110236220472"/>
  <pageSetup blackAndWhite="1" horizontalDpi="360" verticalDpi="360" orientation="portrait" paperSize="9" scale="90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31"/>
  <dimension ref="A1:BG124"/>
  <sheetViews>
    <sheetView workbookViewId="0" topLeftCell="A1">
      <selection activeCell="E8" sqref="E8:G8"/>
    </sheetView>
  </sheetViews>
  <sheetFormatPr defaultColWidth="9.33203125" defaultRowHeight="12.75"/>
  <cols>
    <col min="1" max="1" width="15.5" style="0" customWidth="1"/>
    <col min="2" max="10" width="4.83203125" style="0" customWidth="1"/>
    <col min="11" max="11" width="11.66015625" style="0" bestFit="1" customWidth="1"/>
    <col min="12" max="13" width="11.83203125" style="0" customWidth="1"/>
    <col min="14" max="14" width="4.83203125" style="0" customWidth="1"/>
    <col min="15" max="15" width="12.83203125" style="0" customWidth="1"/>
    <col min="16" max="16" width="9.16015625" style="0" customWidth="1"/>
    <col min="17" max="17" width="15.5" style="0" hidden="1" customWidth="1"/>
    <col min="18" max="26" width="4.83203125" style="0" hidden="1" customWidth="1"/>
    <col min="27" max="27" width="11.66015625" style="0" hidden="1" customWidth="1"/>
    <col min="28" max="29" width="11.83203125" style="0" hidden="1" customWidth="1"/>
    <col min="30" max="30" width="4.83203125" style="0" hidden="1" customWidth="1"/>
    <col min="31" max="31" width="12.83203125" style="0" hidden="1" customWidth="1"/>
    <col min="32" max="32" width="11" style="0" hidden="1" customWidth="1"/>
    <col min="33" max="33" width="5.16015625" style="0" hidden="1" customWidth="1"/>
    <col min="34" max="34" width="10.5" style="0" hidden="1" customWidth="1"/>
    <col min="35" max="35" width="15.16015625" style="0" hidden="1" customWidth="1"/>
    <col min="36" max="36" width="16.83203125" style="0" hidden="1" customWidth="1"/>
    <col min="37" max="37" width="6.66015625" style="0" hidden="1" customWidth="1"/>
    <col min="38" max="38" width="12.83203125" style="0" hidden="1" customWidth="1"/>
    <col min="39" max="39" width="11.5" style="0" hidden="1" customWidth="1"/>
    <col min="40" max="45" width="0" style="0" hidden="1" customWidth="1"/>
    <col min="46" max="46" width="3.66015625" style="0" customWidth="1"/>
    <col min="49" max="49" width="13.66015625" style="0" customWidth="1"/>
  </cols>
  <sheetData>
    <row r="1" spans="1:59" ht="16.5" thickTop="1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3"/>
      <c r="Q1" s="201" t="s">
        <v>0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3"/>
      <c r="AI1" s="185" t="s">
        <v>29</v>
      </c>
      <c r="AJ1" s="185"/>
      <c r="AK1" s="185"/>
      <c r="AL1" s="185"/>
      <c r="AM1" s="135" t="s">
        <v>68</v>
      </c>
      <c r="AT1" s="77"/>
      <c r="AU1" s="247" t="s">
        <v>84</v>
      </c>
      <c r="AV1" s="248"/>
      <c r="AW1" s="249"/>
      <c r="AX1" s="77"/>
      <c r="AY1" s="77"/>
      <c r="AZ1" s="77"/>
      <c r="BA1" s="77"/>
      <c r="BB1" s="77"/>
      <c r="BC1" s="77"/>
      <c r="BD1" s="77"/>
      <c r="BE1" s="77"/>
      <c r="BF1" s="77"/>
      <c r="BG1" s="77"/>
    </row>
    <row r="2" spans="1:59" ht="15.75">
      <c r="A2" s="350" t="str">
        <f>+Gen!A2</f>
        <v>TRIBUNALE DI TERMINI IMERESE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2"/>
      <c r="Q2" s="204" t="s">
        <v>1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6"/>
      <c r="AI2" s="5" t="s">
        <v>30</v>
      </c>
      <c r="AJ2" s="5" t="s">
        <v>31</v>
      </c>
      <c r="AK2" s="6" t="s">
        <v>18</v>
      </c>
      <c r="AL2" s="5" t="s">
        <v>37</v>
      </c>
      <c r="AN2" s="134"/>
      <c r="AT2" s="77"/>
      <c r="AU2" s="250"/>
      <c r="AV2" s="251"/>
      <c r="AW2" s="252"/>
      <c r="AX2" s="77"/>
      <c r="AY2" s="77"/>
      <c r="AZ2" s="77"/>
      <c r="BA2" s="77"/>
      <c r="BB2" s="77"/>
      <c r="BC2" s="77"/>
      <c r="BD2" s="77"/>
      <c r="BE2" s="77"/>
      <c r="BF2" s="77"/>
      <c r="BG2" s="77"/>
    </row>
    <row r="3" spans="1:59" ht="15.75">
      <c r="A3" s="207" t="s">
        <v>110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9"/>
      <c r="Q3" s="207" t="s">
        <v>85</v>
      </c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9"/>
      <c r="AI3" s="7">
        <v>1</v>
      </c>
      <c r="AJ3" s="7">
        <f>+Aliquote!C6</f>
        <v>15000</v>
      </c>
      <c r="AK3" s="8">
        <f>+Aliquote!D6</f>
        <v>0.23</v>
      </c>
      <c r="AL3" s="9"/>
      <c r="AT3" s="77"/>
      <c r="AU3" s="268"/>
      <c r="AV3" s="269"/>
      <c r="AW3" s="270"/>
      <c r="AX3" s="77"/>
      <c r="AY3" s="77"/>
      <c r="AZ3" s="77"/>
      <c r="BA3" s="77"/>
      <c r="BB3" s="77"/>
      <c r="BC3" s="77"/>
      <c r="BD3" s="77"/>
      <c r="BE3" s="77"/>
      <c r="BF3" s="77"/>
      <c r="BG3" s="77"/>
    </row>
    <row r="4" spans="1:59" ht="12.75" customHeight="1">
      <c r="A4" s="150" t="s">
        <v>138</v>
      </c>
      <c r="B4" s="163" t="str">
        <f>IF(Gen!B4&gt;0,Gen!B4,Vuota1)</f>
        <v>        </v>
      </c>
      <c r="C4" s="154"/>
      <c r="D4" s="154"/>
      <c r="E4" s="154"/>
      <c r="F4" s="154"/>
      <c r="G4" s="164"/>
      <c r="H4" s="58"/>
      <c r="I4" s="58"/>
      <c r="J4" s="345" t="s">
        <v>128</v>
      </c>
      <c r="K4" s="346"/>
      <c r="L4" s="149">
        <f>IF(Gen!L4&gt;0,Gen!L4,Vuota1)</f>
        <v>2007</v>
      </c>
      <c r="M4" s="20"/>
      <c r="N4" s="58"/>
      <c r="O4" s="58"/>
      <c r="P4" s="33"/>
      <c r="Q4" s="20"/>
      <c r="R4" s="58"/>
      <c r="S4" s="58"/>
      <c r="T4" s="58"/>
      <c r="U4" s="58"/>
      <c r="V4" s="58"/>
      <c r="W4" s="58"/>
      <c r="X4" s="58"/>
      <c r="Y4" s="58"/>
      <c r="Z4" s="213" t="s">
        <v>2</v>
      </c>
      <c r="AA4" s="213"/>
      <c r="AB4" s="2">
        <v>2007</v>
      </c>
      <c r="AC4" s="20"/>
      <c r="AD4" s="58"/>
      <c r="AE4" s="58"/>
      <c r="AF4" s="33"/>
      <c r="AI4" s="7">
        <f>+AJ3+0.01</f>
        <v>15000.01</v>
      </c>
      <c r="AJ4" s="7">
        <f>+Aliquote!C7</f>
        <v>28000</v>
      </c>
      <c r="AK4" s="8">
        <f>+Aliquote!D7</f>
        <v>0.27</v>
      </c>
      <c r="AL4" s="7">
        <f>ROUND(AI4*AK3,2)</f>
        <v>3450</v>
      </c>
      <c r="AT4" s="77"/>
      <c r="AU4" s="262" t="s">
        <v>81</v>
      </c>
      <c r="AV4" s="263"/>
      <c r="AW4" s="264"/>
      <c r="AX4" s="77"/>
      <c r="AY4" s="77"/>
      <c r="AZ4" s="77"/>
      <c r="BA4" s="77"/>
      <c r="BB4" s="77"/>
      <c r="BC4" s="77"/>
      <c r="BD4" s="77"/>
      <c r="BE4" s="77"/>
      <c r="BF4" s="77"/>
      <c r="BG4" s="77"/>
    </row>
    <row r="5" spans="1:59" ht="16.5" thickBot="1">
      <c r="A5" s="59" t="s">
        <v>3</v>
      </c>
      <c r="B5" s="60"/>
      <c r="C5" s="52" t="str">
        <f>IF(Gen!C5&gt;0,Gen!C5,Vuota1)</f>
        <v>C1</v>
      </c>
      <c r="D5" s="347" t="str">
        <f>IF(Gen!D5&gt;0,Gen!D5,Vuota1)</f>
        <v>        </v>
      </c>
      <c r="E5" s="348" t="e">
        <f>IF(#REF!&gt;0,#REF!,Vuota1)</f>
        <v>#REF!</v>
      </c>
      <c r="F5" s="348" t="e">
        <f>IF(#REF!&gt;0,#REF!,Vuota1)</f>
        <v>#REF!</v>
      </c>
      <c r="G5" s="348" t="e">
        <f>IF(#REF!&gt;0,#REF!,Vuota1)</f>
        <v>#REF!</v>
      </c>
      <c r="H5" s="348" t="e">
        <f>IF(#REF!&gt;0,#REF!,Vuota1)</f>
        <v>#REF!</v>
      </c>
      <c r="I5" s="348" t="e">
        <f>IF(#REF!&gt;0,#REF!,Vuota1)</f>
        <v>#REF!</v>
      </c>
      <c r="J5" s="348" t="str">
        <f>IF(Gen!J5&gt;0,Gen!J5,Vuota1)</f>
        <v>        </v>
      </c>
      <c r="K5" s="348" t="e">
        <f>IF(#REF!&gt;0,#REF!,Vuota1)</f>
        <v>#REF!</v>
      </c>
      <c r="L5" s="349" t="e">
        <f>IF(#REF!&gt;0,#REF!,Vuota1)</f>
        <v>#REF!</v>
      </c>
      <c r="M5" s="61" t="s">
        <v>5</v>
      </c>
      <c r="N5" s="163" t="str">
        <f>IF(Gen!N5&gt;0,Gen!N5,Vuota1)</f>
        <v>        </v>
      </c>
      <c r="O5" s="154" t="e">
        <f>IF(#REF!&gt;0,#REF!,Vuota1)</f>
        <v>#REF!</v>
      </c>
      <c r="P5" s="164" t="e">
        <f>IF(#REF!&gt;0,#REF!,Vuota1)</f>
        <v>#REF!</v>
      </c>
      <c r="Q5" s="59" t="s">
        <v>3</v>
      </c>
      <c r="R5" s="60"/>
      <c r="S5" s="2" t="s">
        <v>4</v>
      </c>
      <c r="T5" s="211"/>
      <c r="U5" s="211"/>
      <c r="V5" s="211"/>
      <c r="W5" s="211"/>
      <c r="X5" s="211"/>
      <c r="Y5" s="211"/>
      <c r="Z5" s="211"/>
      <c r="AA5" s="211"/>
      <c r="AB5" s="313"/>
      <c r="AC5" s="61" t="s">
        <v>5</v>
      </c>
      <c r="AD5" s="214"/>
      <c r="AE5" s="215"/>
      <c r="AF5" s="216"/>
      <c r="AH5" s="21"/>
      <c r="AI5" s="7">
        <f>+AJ4+0.01</f>
        <v>28000.01</v>
      </c>
      <c r="AJ5" s="7">
        <f>+Aliquote!C8</f>
        <v>55000</v>
      </c>
      <c r="AK5" s="8">
        <f>+Aliquote!D8</f>
        <v>0.38</v>
      </c>
      <c r="AL5" s="7">
        <f>ROUND((AI5-AI4)*AK4,2)+AL4</f>
        <v>6960</v>
      </c>
      <c r="AT5" s="77"/>
      <c r="AU5" s="265" t="s">
        <v>82</v>
      </c>
      <c r="AV5" s="266"/>
      <c r="AW5" s="267"/>
      <c r="AX5" s="77"/>
      <c r="AY5" s="77"/>
      <c r="AZ5" s="77"/>
      <c r="BA5" s="77"/>
      <c r="BB5" s="77"/>
      <c r="BC5" s="77"/>
      <c r="BD5" s="77"/>
      <c r="BE5" s="77"/>
      <c r="BF5" s="77"/>
      <c r="BG5" s="77"/>
    </row>
    <row r="6" spans="1:59" ht="12.75" customHeight="1" thickTop="1">
      <c r="A6" s="271" t="s">
        <v>6</v>
      </c>
      <c r="B6" s="272"/>
      <c r="C6" s="163" t="str">
        <f>IF(Gen!C6&gt;0,Gen!C6,Vuota1)</f>
        <v>        </v>
      </c>
      <c r="D6" s="213" t="e">
        <f>IF(#REF!&gt;0,#REF!,Vuota1)</f>
        <v>#REF!</v>
      </c>
      <c r="E6" s="213" t="e">
        <f>IF(#REF!&gt;0,#REF!,Vuota1)</f>
        <v>#REF!</v>
      </c>
      <c r="F6" s="213" t="e">
        <f>IF(#REF!&gt;0,#REF!,Vuota1)</f>
        <v>#REF!</v>
      </c>
      <c r="G6" s="359" t="e">
        <f>IF(#REF!&gt;0,#REF!,Vuota1)</f>
        <v>#REF!</v>
      </c>
      <c r="H6" s="60" t="s">
        <v>7</v>
      </c>
      <c r="I6" s="353" t="str">
        <f>IF(Gen!I6&gt;0,Gen!I6,Vuota1)</f>
        <v>        </v>
      </c>
      <c r="J6" s="354" t="e">
        <f>IF(#REF!&gt;0,#REF!,Vuota1)</f>
        <v>#REF!</v>
      </c>
      <c r="K6" s="355" t="e">
        <f>IF(#REF!&gt;0,#REF!,Vuota1)</f>
        <v>#REF!</v>
      </c>
      <c r="L6" s="48" t="s">
        <v>90</v>
      </c>
      <c r="M6" s="356" t="str">
        <f>IF(Gen!M6&gt;0,Gen!M6,Vuota1)</f>
        <v>        </v>
      </c>
      <c r="N6" s="357" t="e">
        <f>IF(#REF!&gt;0,#REF!,Vuota1)</f>
        <v>#REF!</v>
      </c>
      <c r="O6" s="357" t="e">
        <f>IF(#REF!&gt;0,#REF!,Vuota1)</f>
        <v>#REF!</v>
      </c>
      <c r="P6" s="358" t="e">
        <f>IF(#REF!&gt;0,#REF!,Vuota1)</f>
        <v>#REF!</v>
      </c>
      <c r="Q6" s="317"/>
      <c r="R6" s="318"/>
      <c r="S6" s="318"/>
      <c r="T6" s="302" t="s">
        <v>6</v>
      </c>
      <c r="U6" s="302"/>
      <c r="V6" s="214"/>
      <c r="W6" s="215"/>
      <c r="X6" s="215"/>
      <c r="Y6" s="215"/>
      <c r="Z6" s="216"/>
      <c r="AA6" s="60" t="s">
        <v>7</v>
      </c>
      <c r="AB6" s="300"/>
      <c r="AC6" s="301"/>
      <c r="AD6" s="20"/>
      <c r="AE6" s="20"/>
      <c r="AF6" s="62"/>
      <c r="AH6" s="21"/>
      <c r="AI6" s="7">
        <f>+AJ5+0.01</f>
        <v>55000.01</v>
      </c>
      <c r="AJ6" s="7">
        <f>+Aliquote!C9</f>
        <v>75000</v>
      </c>
      <c r="AK6" s="8">
        <f>+Aliquote!D9</f>
        <v>0.41</v>
      </c>
      <c r="AL6" s="7">
        <f>ROUND((AI6-AI5)*AK5,2)+AL5</f>
        <v>17220</v>
      </c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</row>
    <row r="7" spans="1:59" ht="12.75" customHeight="1">
      <c r="A7" s="239" t="s">
        <v>8</v>
      </c>
      <c r="B7" s="240"/>
      <c r="C7" s="240"/>
      <c r="D7" s="240"/>
      <c r="E7" s="240"/>
      <c r="F7" s="240"/>
      <c r="G7" s="240"/>
      <c r="H7" s="158" t="s">
        <v>9</v>
      </c>
      <c r="I7" s="158"/>
      <c r="J7" s="158"/>
      <c r="K7" s="158"/>
      <c r="L7" s="158"/>
      <c r="M7" s="20"/>
      <c r="N7" s="20"/>
      <c r="O7" s="20"/>
      <c r="P7" s="62"/>
      <c r="Q7" s="239" t="s">
        <v>8</v>
      </c>
      <c r="R7" s="240"/>
      <c r="S7" s="240"/>
      <c r="T7" s="240"/>
      <c r="U7" s="240"/>
      <c r="V7" s="240"/>
      <c r="W7" s="240"/>
      <c r="X7" s="158" t="s">
        <v>9</v>
      </c>
      <c r="Y7" s="158"/>
      <c r="Z7" s="158"/>
      <c r="AA7" s="158"/>
      <c r="AB7" s="158"/>
      <c r="AC7" s="20"/>
      <c r="AD7" s="20"/>
      <c r="AE7" s="20"/>
      <c r="AF7" s="62"/>
      <c r="AH7" s="21"/>
      <c r="AI7" s="7">
        <f>+AJ6+0.01</f>
        <v>75000.01</v>
      </c>
      <c r="AJ7" s="7">
        <v>1000000</v>
      </c>
      <c r="AK7" s="8">
        <f>+Aliquote!D10</f>
        <v>0.43</v>
      </c>
      <c r="AL7" s="7">
        <f>ROUND((AI7-AI6)*AK6,2)+AL6</f>
        <v>25420</v>
      </c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</row>
    <row r="8" spans="1:59" ht="12.75">
      <c r="A8" s="27" t="s">
        <v>78</v>
      </c>
      <c r="B8" s="29"/>
      <c r="C8" s="29"/>
      <c r="D8" s="23"/>
      <c r="E8" s="195"/>
      <c r="F8" s="196"/>
      <c r="G8" s="197"/>
      <c r="H8" s="273" t="s">
        <v>10</v>
      </c>
      <c r="I8" s="274"/>
      <c r="J8" s="274"/>
      <c r="K8" s="275"/>
      <c r="L8" s="1"/>
      <c r="M8" s="20"/>
      <c r="N8" s="20"/>
      <c r="O8" s="20"/>
      <c r="P8" s="62"/>
      <c r="Q8" s="27" t="s">
        <v>78</v>
      </c>
      <c r="R8" s="29"/>
      <c r="S8" s="29"/>
      <c r="T8" s="23"/>
      <c r="U8" s="195">
        <f aca="true" t="shared" si="0" ref="U8:U15">ROUND(E8*13,5)</f>
        <v>0</v>
      </c>
      <c r="V8" s="196"/>
      <c r="W8" s="197"/>
      <c r="X8" s="273" t="s">
        <v>10</v>
      </c>
      <c r="Y8" s="274"/>
      <c r="Z8" s="274"/>
      <c r="AA8" s="275"/>
      <c r="AB8" s="1">
        <f aca="true" t="shared" si="1" ref="AB8:AB17">ROUND(L8*13,5)</f>
        <v>0</v>
      </c>
      <c r="AC8" s="20"/>
      <c r="AD8" s="20"/>
      <c r="AE8" s="20"/>
      <c r="AF8" s="62"/>
      <c r="AH8" s="21"/>
      <c r="AI8" s="7">
        <f>+AJ7+0.01</f>
        <v>1000000.01</v>
      </c>
      <c r="AJ8" s="10">
        <v>2000000</v>
      </c>
      <c r="AK8" s="11">
        <f>+AK7</f>
        <v>0.43</v>
      </c>
      <c r="AL8" s="10">
        <f>ROUND((AI8-AI7)*AK7,2)+AL7</f>
        <v>423170</v>
      </c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</row>
    <row r="9" spans="1:59" ht="12.75">
      <c r="A9" s="27" t="s">
        <v>11</v>
      </c>
      <c r="B9" s="29"/>
      <c r="C9" s="29"/>
      <c r="D9" s="23"/>
      <c r="E9" s="195"/>
      <c r="F9" s="196"/>
      <c r="G9" s="197"/>
      <c r="H9" s="198" t="s">
        <v>111</v>
      </c>
      <c r="I9" s="199"/>
      <c r="J9" s="199"/>
      <c r="K9" s="200"/>
      <c r="L9" s="1"/>
      <c r="M9" s="20"/>
      <c r="N9" s="20"/>
      <c r="O9" s="20"/>
      <c r="P9" s="62"/>
      <c r="Q9" s="27" t="s">
        <v>11</v>
      </c>
      <c r="R9" s="29"/>
      <c r="S9" s="29"/>
      <c r="T9" s="23"/>
      <c r="U9" s="195">
        <f t="shared" si="0"/>
        <v>0</v>
      </c>
      <c r="V9" s="196"/>
      <c r="W9" s="197"/>
      <c r="X9" s="198" t="s">
        <v>111</v>
      </c>
      <c r="Y9" s="199"/>
      <c r="Z9" s="199"/>
      <c r="AA9" s="200"/>
      <c r="AB9" s="1">
        <f t="shared" si="1"/>
        <v>0</v>
      </c>
      <c r="AC9" s="20"/>
      <c r="AD9" s="20"/>
      <c r="AE9" s="25" t="s">
        <v>117</v>
      </c>
      <c r="AF9" s="62"/>
      <c r="AH9" s="22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</row>
    <row r="10" spans="1:59" ht="12.75">
      <c r="A10" s="27" t="s">
        <v>12</v>
      </c>
      <c r="B10" s="29"/>
      <c r="C10" s="29"/>
      <c r="D10" s="23"/>
      <c r="E10" s="195"/>
      <c r="F10" s="196"/>
      <c r="G10" s="197"/>
      <c r="H10" s="198" t="s">
        <v>112</v>
      </c>
      <c r="I10" s="199"/>
      <c r="J10" s="199"/>
      <c r="K10" s="200"/>
      <c r="L10" s="1"/>
      <c r="M10" s="20"/>
      <c r="N10" s="20"/>
      <c r="O10" s="20"/>
      <c r="P10" s="62"/>
      <c r="Q10" s="27" t="s">
        <v>12</v>
      </c>
      <c r="R10" s="29"/>
      <c r="S10" s="29"/>
      <c r="T10" s="23"/>
      <c r="U10" s="195">
        <f t="shared" si="0"/>
        <v>0</v>
      </c>
      <c r="V10" s="196"/>
      <c r="W10" s="197"/>
      <c r="X10" s="198" t="s">
        <v>112</v>
      </c>
      <c r="Y10" s="199"/>
      <c r="Z10" s="199"/>
      <c r="AA10" s="200"/>
      <c r="AB10" s="1">
        <f t="shared" si="1"/>
        <v>0</v>
      </c>
      <c r="AC10" s="20"/>
      <c r="AD10" s="20"/>
      <c r="AE10" s="145">
        <f>+Lordo-U12</f>
        <v>0</v>
      </c>
      <c r="AF10" s="62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</row>
    <row r="11" spans="1:59" ht="12.75">
      <c r="A11" s="27" t="s">
        <v>14</v>
      </c>
      <c r="B11" s="29"/>
      <c r="C11" s="29"/>
      <c r="D11" s="29"/>
      <c r="E11" s="195"/>
      <c r="F11" s="196"/>
      <c r="G11" s="197"/>
      <c r="H11" s="198" t="s">
        <v>113</v>
      </c>
      <c r="I11" s="199"/>
      <c r="J11" s="199"/>
      <c r="K11" s="200"/>
      <c r="L11" s="143">
        <f>ROUND((E10+E11)*(Aliquote!H9),2)</f>
        <v>0</v>
      </c>
      <c r="M11" s="20"/>
      <c r="N11" s="20"/>
      <c r="O11" s="20"/>
      <c r="P11" s="62"/>
      <c r="Q11" s="27" t="s">
        <v>14</v>
      </c>
      <c r="R11" s="29"/>
      <c r="S11" s="29"/>
      <c r="T11" s="29"/>
      <c r="U11" s="195">
        <f t="shared" si="0"/>
        <v>0</v>
      </c>
      <c r="V11" s="196"/>
      <c r="W11" s="197"/>
      <c r="X11" s="198" t="s">
        <v>113</v>
      </c>
      <c r="Y11" s="199"/>
      <c r="Z11" s="199"/>
      <c r="AA11" s="200"/>
      <c r="AB11" s="143">
        <f t="shared" si="1"/>
        <v>0</v>
      </c>
      <c r="AC11" s="20"/>
      <c r="AD11" s="20"/>
      <c r="AE11" s="20"/>
      <c r="AF11" s="62"/>
      <c r="AH11" s="85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</row>
    <row r="12" spans="1:59" ht="12.75">
      <c r="A12" s="27"/>
      <c r="B12" s="29"/>
      <c r="C12" s="29"/>
      <c r="D12" s="23"/>
      <c r="E12" s="404"/>
      <c r="F12" s="405"/>
      <c r="G12" s="406"/>
      <c r="H12" s="198" t="s">
        <v>114</v>
      </c>
      <c r="I12" s="199"/>
      <c r="J12" s="199"/>
      <c r="K12" s="200"/>
      <c r="L12" s="144">
        <f>ROUND((E10+E11)*(Aliquote!I9),2)</f>
        <v>0</v>
      </c>
      <c r="M12" s="20"/>
      <c r="N12" s="20"/>
      <c r="O12" s="20"/>
      <c r="P12" s="62"/>
      <c r="Q12" s="27" t="s">
        <v>16</v>
      </c>
      <c r="R12" s="29"/>
      <c r="S12" s="29"/>
      <c r="T12" s="23"/>
      <c r="U12" s="195">
        <f t="shared" si="0"/>
        <v>0</v>
      </c>
      <c r="V12" s="196"/>
      <c r="W12" s="197"/>
      <c r="X12" s="198" t="s">
        <v>114</v>
      </c>
      <c r="Y12" s="199"/>
      <c r="Z12" s="199"/>
      <c r="AA12" s="200"/>
      <c r="AB12" s="143">
        <f t="shared" si="1"/>
        <v>0</v>
      </c>
      <c r="AC12" s="91"/>
      <c r="AD12" s="20"/>
      <c r="AE12" s="20"/>
      <c r="AF12" s="62"/>
      <c r="AH12" s="85"/>
      <c r="AI12" s="186" t="s">
        <v>32</v>
      </c>
      <c r="AJ12" s="186"/>
      <c r="AK12" s="186"/>
      <c r="AL12" s="186"/>
      <c r="AM12" s="186"/>
      <c r="AN12" t="s">
        <v>44</v>
      </c>
      <c r="AO12" t="s">
        <v>43</v>
      </c>
      <c r="AT12" s="77"/>
      <c r="AU12" s="78"/>
      <c r="AV12" s="78"/>
      <c r="AW12" s="78"/>
      <c r="AX12" s="77"/>
      <c r="AY12" s="77"/>
      <c r="AZ12" s="77"/>
      <c r="BA12" s="77"/>
      <c r="BB12" s="77"/>
      <c r="BC12" s="77"/>
      <c r="BD12" s="77"/>
      <c r="BE12" s="77"/>
      <c r="BF12" s="77"/>
      <c r="BG12" s="77"/>
    </row>
    <row r="13" spans="1:59" ht="12.75">
      <c r="A13" s="27" t="s">
        <v>17</v>
      </c>
      <c r="B13" s="29"/>
      <c r="C13" s="29"/>
      <c r="D13" s="23"/>
      <c r="E13" s="195"/>
      <c r="F13" s="196"/>
      <c r="G13" s="197"/>
      <c r="H13" s="198"/>
      <c r="I13" s="199"/>
      <c r="J13" s="199"/>
      <c r="K13" s="200"/>
      <c r="L13" s="143"/>
      <c r="M13" s="20"/>
      <c r="N13" s="20"/>
      <c r="O13" s="20"/>
      <c r="P13" s="62"/>
      <c r="Q13" s="27" t="s">
        <v>17</v>
      </c>
      <c r="R13" s="29"/>
      <c r="S13" s="29"/>
      <c r="T13" s="23"/>
      <c r="U13" s="195">
        <f t="shared" si="0"/>
        <v>0</v>
      </c>
      <c r="V13" s="196"/>
      <c r="W13" s="197"/>
      <c r="X13" s="198" t="s">
        <v>115</v>
      </c>
      <c r="Y13" s="199"/>
      <c r="Z13" s="199"/>
      <c r="AA13" s="200"/>
      <c r="AB13" s="143">
        <f t="shared" si="1"/>
        <v>0</v>
      </c>
      <c r="AC13" s="20"/>
      <c r="AD13" s="20"/>
      <c r="AE13" s="91"/>
      <c r="AF13" s="62"/>
      <c r="AH13" s="85"/>
      <c r="AI13" s="4" t="s">
        <v>33</v>
      </c>
      <c r="AJ13" s="107">
        <v>80000</v>
      </c>
      <c r="AK13" s="4"/>
      <c r="AL13" s="107">
        <v>800</v>
      </c>
      <c r="AM13" s="107">
        <v>690</v>
      </c>
      <c r="AN13" s="87">
        <v>110</v>
      </c>
      <c r="AO13" s="87">
        <f>ROUND(Redd_Detraz/AJ19,4)</f>
        <v>0</v>
      </c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</row>
    <row r="14" spans="1:59" ht="12.75">
      <c r="A14" s="192" t="s">
        <v>108</v>
      </c>
      <c r="B14" s="193"/>
      <c r="C14" s="193"/>
      <c r="D14" s="194"/>
      <c r="E14" s="195"/>
      <c r="F14" s="196"/>
      <c r="G14" s="197"/>
      <c r="H14" s="198" t="s">
        <v>116</v>
      </c>
      <c r="I14" s="199"/>
      <c r="J14" s="199"/>
      <c r="K14" s="200"/>
      <c r="L14" s="143">
        <f>ROUND(E13*80%*(Aliquote!$G$9)+E13*(Aliquote!$H$9+Aliquote!$I$9),5)</f>
        <v>0</v>
      </c>
      <c r="M14" s="20"/>
      <c r="N14" s="20"/>
      <c r="O14" s="20"/>
      <c r="P14" s="62"/>
      <c r="Q14" s="26" t="s">
        <v>13</v>
      </c>
      <c r="R14" s="30"/>
      <c r="S14" s="30"/>
      <c r="T14" s="24"/>
      <c r="U14" s="195">
        <f t="shared" si="0"/>
        <v>0</v>
      </c>
      <c r="V14" s="196"/>
      <c r="W14" s="197"/>
      <c r="X14" s="198" t="s">
        <v>116</v>
      </c>
      <c r="Y14" s="199"/>
      <c r="Z14" s="199"/>
      <c r="AA14" s="200"/>
      <c r="AB14" s="143">
        <f t="shared" si="1"/>
        <v>0</v>
      </c>
      <c r="AC14" s="20"/>
      <c r="AD14" s="20"/>
      <c r="AE14" s="20"/>
      <c r="AF14" s="62"/>
      <c r="AH14" s="85"/>
      <c r="AI14" s="4" t="s">
        <v>34</v>
      </c>
      <c r="AJ14" s="107">
        <v>95000</v>
      </c>
      <c r="AK14" s="4"/>
      <c r="AL14" s="107">
        <v>800</v>
      </c>
      <c r="AO14" s="77">
        <f>ROUND((Coniuge-Redd_Detraz)/AJ38,4)</f>
        <v>2</v>
      </c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</row>
    <row r="15" spans="1:59" ht="12.75">
      <c r="A15" s="192" t="s">
        <v>109</v>
      </c>
      <c r="B15" s="193"/>
      <c r="C15" s="193"/>
      <c r="D15" s="194"/>
      <c r="E15" s="195"/>
      <c r="F15" s="196"/>
      <c r="G15" s="197"/>
      <c r="H15" s="192" t="s">
        <v>149</v>
      </c>
      <c r="I15" s="193"/>
      <c r="J15" s="193"/>
      <c r="K15" s="194"/>
      <c r="L15" s="143">
        <f>ROUND(E14*80%*(Aliquote!$G$9)+E14*(Aliquote!$H$9+Aliquote!$I$9),5)</f>
        <v>0</v>
      </c>
      <c r="M15" s="20"/>
      <c r="N15" s="20"/>
      <c r="O15" s="20"/>
      <c r="P15" s="62"/>
      <c r="Q15" s="26" t="s">
        <v>13</v>
      </c>
      <c r="R15" s="30"/>
      <c r="S15" s="30"/>
      <c r="T15" s="24"/>
      <c r="U15" s="195">
        <f t="shared" si="0"/>
        <v>0</v>
      </c>
      <c r="V15" s="196"/>
      <c r="W15" s="197"/>
      <c r="X15" s="192" t="s">
        <v>13</v>
      </c>
      <c r="Y15" s="193"/>
      <c r="Z15" s="193"/>
      <c r="AA15" s="194"/>
      <c r="AB15" s="143">
        <f t="shared" si="1"/>
        <v>0</v>
      </c>
      <c r="AC15" s="20"/>
      <c r="AD15" s="20"/>
      <c r="AE15" s="25" t="s">
        <v>93</v>
      </c>
      <c r="AF15" s="62"/>
      <c r="AH15" s="85"/>
      <c r="AI15" s="4" t="s">
        <v>35</v>
      </c>
      <c r="AJ15" s="107">
        <v>55000</v>
      </c>
      <c r="AK15" s="4"/>
      <c r="AL15" s="107">
        <v>1338</v>
      </c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</row>
    <row r="16" spans="1:59" ht="12.75">
      <c r="A16" s="192" t="s">
        <v>148</v>
      </c>
      <c r="B16" s="193"/>
      <c r="C16" s="193"/>
      <c r="D16" s="194"/>
      <c r="E16" s="195"/>
      <c r="F16" s="196"/>
      <c r="G16" s="197"/>
      <c r="H16" s="192" t="s">
        <v>150</v>
      </c>
      <c r="I16" s="193"/>
      <c r="J16" s="193"/>
      <c r="K16" s="194"/>
      <c r="L16" s="144">
        <f>ROUND(E15*(Aliquote!$H$9+Aliquote!$I$9),5)</f>
        <v>0</v>
      </c>
      <c r="M16" s="20"/>
      <c r="N16" s="20"/>
      <c r="O16" s="20"/>
      <c r="P16" s="62"/>
      <c r="Q16" s="192" t="s">
        <v>57</v>
      </c>
      <c r="R16" s="193"/>
      <c r="S16" s="193"/>
      <c r="T16" s="194"/>
      <c r="U16" s="195"/>
      <c r="V16" s="196"/>
      <c r="W16" s="197"/>
      <c r="X16" s="192" t="s">
        <v>13</v>
      </c>
      <c r="Y16" s="193"/>
      <c r="Z16" s="193"/>
      <c r="AA16" s="194"/>
      <c r="AB16" s="143">
        <f t="shared" si="1"/>
        <v>0</v>
      </c>
      <c r="AC16" s="298"/>
      <c r="AD16" s="299"/>
      <c r="AE16" s="146">
        <f>IF(O46&gt;E12,ROUND((O46-E12)*12,2),0)</f>
        <v>0</v>
      </c>
      <c r="AF16" s="62"/>
      <c r="AH16" s="85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</row>
    <row r="17" spans="1:59" ht="12.75">
      <c r="A17" s="163" t="s">
        <v>15</v>
      </c>
      <c r="B17" s="154"/>
      <c r="C17" s="154"/>
      <c r="D17" s="164"/>
      <c r="E17" s="175">
        <f>SUM(E8:G16)</f>
        <v>0</v>
      </c>
      <c r="F17" s="219"/>
      <c r="G17" s="176"/>
      <c r="H17" s="192" t="s">
        <v>148</v>
      </c>
      <c r="I17" s="193"/>
      <c r="J17" s="193"/>
      <c r="K17" s="194"/>
      <c r="L17" s="189"/>
      <c r="M17" s="20"/>
      <c r="N17" s="20"/>
      <c r="O17" s="20"/>
      <c r="P17" s="62"/>
      <c r="Q17" s="31" t="s">
        <v>15</v>
      </c>
      <c r="R17" s="28"/>
      <c r="S17" s="28"/>
      <c r="T17" s="32"/>
      <c r="U17" s="175">
        <f>SUM(U8:W16)</f>
        <v>0</v>
      </c>
      <c r="V17" s="219"/>
      <c r="W17" s="176"/>
      <c r="X17" s="192" t="s">
        <v>57</v>
      </c>
      <c r="Y17" s="193"/>
      <c r="Z17" s="193"/>
      <c r="AA17" s="194"/>
      <c r="AB17" s="143">
        <f t="shared" si="1"/>
        <v>0</v>
      </c>
      <c r="AC17" s="160"/>
      <c r="AD17" s="160"/>
      <c r="AE17" s="147"/>
      <c r="AF17" s="62"/>
      <c r="AH17" s="85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</row>
    <row r="18" spans="1:59" ht="13.5" thickBot="1">
      <c r="A18" s="57"/>
      <c r="B18" s="20"/>
      <c r="C18" s="20"/>
      <c r="D18" s="20"/>
      <c r="E18" s="20"/>
      <c r="F18" s="20"/>
      <c r="G18" s="20"/>
      <c r="H18" s="163" t="s">
        <v>15</v>
      </c>
      <c r="I18" s="154"/>
      <c r="J18" s="154"/>
      <c r="K18" s="164"/>
      <c r="L18" s="3">
        <f>SUM(L8:L17)</f>
        <v>0</v>
      </c>
      <c r="M18" s="20"/>
      <c r="N18" s="20"/>
      <c r="O18" s="20"/>
      <c r="P18" s="62"/>
      <c r="Q18" s="57"/>
      <c r="R18" s="20"/>
      <c r="S18" s="20"/>
      <c r="T18" s="20"/>
      <c r="U18" s="20"/>
      <c r="V18" s="20"/>
      <c r="W18" s="20"/>
      <c r="X18" s="31" t="s">
        <v>15</v>
      </c>
      <c r="Y18" s="28"/>
      <c r="Z18" s="28"/>
      <c r="AA18" s="32"/>
      <c r="AB18" s="3">
        <f>SUM(AB8:AB17)</f>
        <v>0</v>
      </c>
      <c r="AC18" s="136"/>
      <c r="AD18" s="136" t="s">
        <v>139</v>
      </c>
      <c r="AE18" s="147"/>
      <c r="AF18" s="151">
        <f>ROUND(E12*12,5)</f>
        <v>0</v>
      </c>
      <c r="AH18" s="85"/>
      <c r="AI18" s="4" t="s">
        <v>38</v>
      </c>
      <c r="AJ18" s="110" t="s">
        <v>39</v>
      </c>
      <c r="AK18" s="77"/>
      <c r="AL18" s="111" t="s">
        <v>45</v>
      </c>
      <c r="AM18" s="111" t="s">
        <v>40</v>
      </c>
      <c r="AO18">
        <f>IF(AP18&gt;0,1,0)</f>
        <v>0</v>
      </c>
      <c r="AP18" s="87"/>
      <c r="AQ18" s="87">
        <v>700</v>
      </c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</row>
    <row r="19" spans="1:59" ht="13.5" customHeight="1" hidden="1" thickBot="1">
      <c r="A19" s="79"/>
      <c r="B19" s="25"/>
      <c r="C19" s="25"/>
      <c r="D19" s="25"/>
      <c r="E19" s="25"/>
      <c r="F19" s="25"/>
      <c r="G19" s="25"/>
      <c r="H19" s="20"/>
      <c r="I19" s="20"/>
      <c r="J19" s="20"/>
      <c r="K19" s="20"/>
      <c r="L19" s="20"/>
      <c r="M19" s="20"/>
      <c r="N19" s="20"/>
      <c r="O19" s="20"/>
      <c r="P19" s="62"/>
      <c r="Q19" s="79"/>
      <c r="R19" s="25"/>
      <c r="S19" s="25"/>
      <c r="T19" s="25"/>
      <c r="U19" s="25"/>
      <c r="V19" s="25"/>
      <c r="W19" s="25"/>
      <c r="X19" s="20"/>
      <c r="Y19" s="20"/>
      <c r="Z19" s="20"/>
      <c r="AA19" s="20"/>
      <c r="AB19" s="20"/>
      <c r="AC19" s="136"/>
      <c r="AD19" s="20"/>
      <c r="AE19" s="148"/>
      <c r="AF19" s="62"/>
      <c r="AI19" s="315" t="s">
        <v>33</v>
      </c>
      <c r="AJ19" s="316">
        <v>15000</v>
      </c>
      <c r="AK19" s="77"/>
      <c r="AL19" s="118">
        <v>0</v>
      </c>
      <c r="AM19" s="127">
        <v>0</v>
      </c>
      <c r="AO19">
        <f>IF(AP19&gt;0,1,0)</f>
        <v>0</v>
      </c>
      <c r="AP19" s="87"/>
      <c r="AQ19" s="87">
        <v>500</v>
      </c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</row>
    <row r="20" spans="1:59" ht="15.75">
      <c r="A20" s="241" t="s">
        <v>66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3"/>
      <c r="Q20" s="241" t="s">
        <v>66</v>
      </c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3"/>
      <c r="AI20" s="315"/>
      <c r="AJ20" s="316"/>
      <c r="AK20" s="77"/>
      <c r="AL20" s="128"/>
      <c r="AM20" s="129"/>
      <c r="AP20" s="87"/>
      <c r="AQ20" s="8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</row>
    <row r="21" spans="1:59" ht="12.75">
      <c r="A21" s="289" t="s">
        <v>33</v>
      </c>
      <c r="B21" s="289"/>
      <c r="C21" s="289"/>
      <c r="D21" s="2"/>
      <c r="E21" s="25"/>
      <c r="F21" s="63"/>
      <c r="G21" s="63"/>
      <c r="H21" s="63"/>
      <c r="I21" s="45"/>
      <c r="J21" s="20"/>
      <c r="K21" s="20"/>
      <c r="L21" s="20"/>
      <c r="M21" s="20"/>
      <c r="N21" s="20"/>
      <c r="O21" s="20"/>
      <c r="P21" s="62"/>
      <c r="Q21" s="289" t="s">
        <v>33</v>
      </c>
      <c r="R21" s="289"/>
      <c r="S21" s="289"/>
      <c r="T21" s="2">
        <f>+D21</f>
        <v>0</v>
      </c>
      <c r="U21" s="25"/>
      <c r="V21" s="63" t="str">
        <f>IF(CNG="Si","Mesi a carico",Vuota1)</f>
        <v>        </v>
      </c>
      <c r="W21" s="63"/>
      <c r="X21" s="63"/>
      <c r="Y21" s="45">
        <v>12</v>
      </c>
      <c r="Z21" s="20"/>
      <c r="AA21" s="20"/>
      <c r="AB21" s="20"/>
      <c r="AC21" s="20"/>
      <c r="AD21" s="20"/>
      <c r="AE21" s="20"/>
      <c r="AF21" s="62"/>
      <c r="AI21" s="315"/>
      <c r="AJ21" s="316"/>
      <c r="AK21" s="77"/>
      <c r="AL21" s="128"/>
      <c r="AM21" s="129"/>
      <c r="AP21" s="87"/>
      <c r="AQ21" s="87"/>
      <c r="AT21" s="77"/>
      <c r="AU21" s="303" t="s">
        <v>83</v>
      </c>
      <c r="AV21" s="304"/>
      <c r="AW21" s="305"/>
      <c r="AX21" s="77"/>
      <c r="AY21" s="77"/>
      <c r="AZ21" s="77"/>
      <c r="BA21" s="77"/>
      <c r="BB21" s="77"/>
      <c r="BC21" s="77"/>
      <c r="BD21" s="77"/>
      <c r="BE21" s="77"/>
      <c r="BF21" s="77"/>
      <c r="BG21" s="77"/>
    </row>
    <row r="22" spans="1:59" ht="12.75">
      <c r="A22" s="64"/>
      <c r="B22" s="63"/>
      <c r="C22" s="48"/>
      <c r="D22" s="20"/>
      <c r="E22" s="25"/>
      <c r="F22" s="63"/>
      <c r="G22" s="63"/>
      <c r="H22" s="63"/>
      <c r="I22" s="20"/>
      <c r="J22" s="20"/>
      <c r="K22" s="20"/>
      <c r="L22" s="20"/>
      <c r="M22" s="20"/>
      <c r="N22" s="20"/>
      <c r="O22" s="20"/>
      <c r="P22" s="62"/>
      <c r="Q22" s="64"/>
      <c r="R22" s="63"/>
      <c r="S22" s="48"/>
      <c r="T22" s="20"/>
      <c r="U22" s="25"/>
      <c r="V22" s="63"/>
      <c r="W22" s="63"/>
      <c r="X22" s="63"/>
      <c r="Y22" s="20"/>
      <c r="Z22" s="20"/>
      <c r="AA22" s="20"/>
      <c r="AB22" s="20"/>
      <c r="AC22" s="20"/>
      <c r="AD22" s="20"/>
      <c r="AE22" s="20"/>
      <c r="AF22" s="62"/>
      <c r="AI22" s="315"/>
      <c r="AJ22" s="316"/>
      <c r="AK22" s="77"/>
      <c r="AL22" s="128"/>
      <c r="AM22" s="129"/>
      <c r="AP22" s="87"/>
      <c r="AQ22" s="87"/>
      <c r="AT22" s="77"/>
      <c r="AU22" s="306"/>
      <c r="AV22" s="257"/>
      <c r="AW22" s="307"/>
      <c r="AX22" s="77"/>
      <c r="AY22" s="77"/>
      <c r="AZ22" s="77"/>
      <c r="BA22" s="77"/>
      <c r="BB22" s="77"/>
      <c r="BC22" s="77"/>
      <c r="BD22" s="77"/>
      <c r="BE22" s="77"/>
      <c r="BF22" s="77"/>
      <c r="BG22" s="77"/>
    </row>
    <row r="23" spans="1:59" ht="12.75">
      <c r="A23" s="54" t="s">
        <v>67</v>
      </c>
      <c r="B23" s="55"/>
      <c r="C23" s="56"/>
      <c r="D23" s="49"/>
      <c r="E23" s="20"/>
      <c r="F23" s="63" t="str">
        <f>IF(N_Fgl&gt;0,"Se il 1° figlio è in assenza del coniuge barrare la casella &gt;&gt;&gt;&gt;",Vuota1)</f>
        <v>        </v>
      </c>
      <c r="G23" s="63"/>
      <c r="H23" s="63"/>
      <c r="I23" s="20"/>
      <c r="J23" s="25"/>
      <c r="K23" s="20"/>
      <c r="L23" s="20"/>
      <c r="M23" s="20"/>
      <c r="N23" s="43"/>
      <c r="O23" s="63"/>
      <c r="P23" s="65"/>
      <c r="Q23" s="54" t="s">
        <v>67</v>
      </c>
      <c r="R23" s="55"/>
      <c r="S23" s="56"/>
      <c r="T23" s="49">
        <f>+D23</f>
        <v>0</v>
      </c>
      <c r="U23" s="20"/>
      <c r="V23" s="63" t="str">
        <f>IF(N_Fgl&gt;0,"Se il 1° figlio è in assenza delconiuge barrare la casella &gt;&gt;&gt;&gt;",Vuota1)</f>
        <v>        </v>
      </c>
      <c r="W23" s="63"/>
      <c r="X23" s="63"/>
      <c r="Y23" s="20"/>
      <c r="Z23" s="25"/>
      <c r="AA23" s="20"/>
      <c r="AB23" s="20"/>
      <c r="AC23" s="20"/>
      <c r="AD23" s="44">
        <f>+N23</f>
        <v>0</v>
      </c>
      <c r="AE23" s="63" t="str">
        <f>IF(AD23&gt;0,"Mesi a carico",Vuota1)</f>
        <v>        </v>
      </c>
      <c r="AF23" s="65"/>
      <c r="AI23" s="315"/>
      <c r="AJ23" s="316"/>
      <c r="AK23" s="77"/>
      <c r="AL23" s="128"/>
      <c r="AM23" s="129"/>
      <c r="AP23" s="87"/>
      <c r="AQ23" s="87"/>
      <c r="AT23" s="77"/>
      <c r="AU23" s="306"/>
      <c r="AV23" s="257"/>
      <c r="AW23" s="307"/>
      <c r="AX23" s="77"/>
      <c r="AY23" s="77"/>
      <c r="AZ23" s="77"/>
      <c r="BA23" s="77"/>
      <c r="BB23" s="77"/>
      <c r="BC23" s="77"/>
      <c r="BD23" s="77"/>
      <c r="BE23" s="77"/>
      <c r="BF23" s="77"/>
      <c r="BG23" s="77"/>
    </row>
    <row r="24" spans="1:59" ht="12.75" customHeight="1">
      <c r="A24" s="47"/>
      <c r="B24" s="239" t="s">
        <v>64</v>
      </c>
      <c r="C24" s="240"/>
      <c r="D24" s="293"/>
      <c r="E24" s="294" t="s">
        <v>65</v>
      </c>
      <c r="F24" s="295"/>
      <c r="G24" s="293"/>
      <c r="H24" s="294" t="s">
        <v>59</v>
      </c>
      <c r="I24" s="295"/>
      <c r="J24" s="293"/>
      <c r="K24" s="48"/>
      <c r="L24" s="63"/>
      <c r="M24" s="20"/>
      <c r="N24" s="20"/>
      <c r="O24" s="20"/>
      <c r="P24" s="62"/>
      <c r="Q24" s="47"/>
      <c r="R24" s="239" t="s">
        <v>64</v>
      </c>
      <c r="S24" s="240"/>
      <c r="T24" s="293"/>
      <c r="U24" s="294" t="s">
        <v>65</v>
      </c>
      <c r="V24" s="295"/>
      <c r="W24" s="293"/>
      <c r="X24" s="294" t="s">
        <v>59</v>
      </c>
      <c r="Y24" s="295"/>
      <c r="Z24" s="293"/>
      <c r="AA24" s="42" t="s">
        <v>80</v>
      </c>
      <c r="AB24" s="63"/>
      <c r="AC24" s="20"/>
      <c r="AD24" s="20"/>
      <c r="AE24" s="20"/>
      <c r="AF24" s="62"/>
      <c r="AI24" s="315"/>
      <c r="AJ24" s="316"/>
      <c r="AK24" s="77"/>
      <c r="AL24" s="128"/>
      <c r="AM24" s="129"/>
      <c r="AP24" s="87"/>
      <c r="AQ24" s="87"/>
      <c r="AT24" s="77"/>
      <c r="AU24" s="306"/>
      <c r="AV24" s="257"/>
      <c r="AW24" s="307"/>
      <c r="AX24" s="77"/>
      <c r="AY24" s="77"/>
      <c r="AZ24" s="77"/>
      <c r="BA24" s="77"/>
      <c r="BB24" s="77"/>
      <c r="BC24" s="77"/>
      <c r="BD24" s="77"/>
      <c r="BE24" s="77"/>
      <c r="BF24" s="77"/>
      <c r="BG24" s="77"/>
    </row>
    <row r="25" spans="1:59" ht="12.75" customHeight="1">
      <c r="A25" s="64" t="str">
        <f>IF(N_Fgl&gt;0,"1° figlio",Vuota1)</f>
        <v>        </v>
      </c>
      <c r="B25" s="63"/>
      <c r="C25" s="43"/>
      <c r="D25" s="63"/>
      <c r="E25" s="63"/>
      <c r="F25" s="43"/>
      <c r="G25" s="63"/>
      <c r="H25" s="63"/>
      <c r="I25" s="43"/>
      <c r="J25" s="63"/>
      <c r="K25" s="63"/>
      <c r="L25" s="66" t="str">
        <f>IF($D$23&gt;0,ROUND(AB25/12,2),Vuota1)</f>
        <v>        </v>
      </c>
      <c r="M25" s="231" t="s">
        <v>69</v>
      </c>
      <c r="N25" s="232"/>
      <c r="O25" s="233"/>
      <c r="P25" s="244">
        <v>1</v>
      </c>
      <c r="Q25" s="64" t="str">
        <f>IF(N_Fgl&gt;0,"1° figlio",Vuota1)</f>
        <v>        </v>
      </c>
      <c r="R25" s="63"/>
      <c r="S25" s="43">
        <f aca="true" t="shared" si="2" ref="S25:S31">+C25</f>
        <v>0</v>
      </c>
      <c r="T25" s="63"/>
      <c r="U25" s="63"/>
      <c r="V25" s="43">
        <f aca="true" t="shared" si="3" ref="V25:V31">+F25</f>
        <v>0</v>
      </c>
      <c r="W25" s="63"/>
      <c r="X25" s="63"/>
      <c r="Y25" s="43">
        <f aca="true" t="shared" si="4" ref="Y25:Y31">+I25</f>
        <v>0</v>
      </c>
      <c r="Z25" s="63"/>
      <c r="AA25" s="43"/>
      <c r="AB25" s="66" t="str">
        <f>IF(N_Fgl&gt;0,IF(AD23&gt;0,AH27,ROUND(dsfig*Percm,2)+IF($V$25&gt;0,ROUND((dsfg3-dsfig)*Percm,2),0)+IF($Y$25&gt;0,ROUND(dsfhc*Percm,2),0)),Vuota1)</f>
        <v>        </v>
      </c>
      <c r="AC25" s="231" t="s">
        <v>69</v>
      </c>
      <c r="AD25" s="232"/>
      <c r="AE25" s="233"/>
      <c r="AF25" s="244">
        <f>+P25</f>
        <v>1</v>
      </c>
      <c r="AH25" s="106">
        <f>ROUND(dsfig,5)+IF($V$25&gt;0,ROUND(dsfg3-dsfig,5),0)+IF($Y$25&gt;0,ROUND(dsfhc,5),0)</f>
        <v>0</v>
      </c>
      <c r="AI25" s="315"/>
      <c r="AJ25" s="316"/>
      <c r="AK25" s="77"/>
      <c r="AL25" s="128"/>
      <c r="AM25" s="129"/>
      <c r="AP25" s="87"/>
      <c r="AQ25" s="87"/>
      <c r="AT25" s="77"/>
      <c r="AU25" s="308"/>
      <c r="AV25" s="309"/>
      <c r="AW25" s="310"/>
      <c r="AX25" s="77"/>
      <c r="AY25" s="77"/>
      <c r="AZ25" s="77"/>
      <c r="BA25" s="77"/>
      <c r="BB25" s="77"/>
      <c r="BC25" s="77"/>
      <c r="BD25" s="77"/>
      <c r="BE25" s="77"/>
      <c r="BF25" s="77"/>
      <c r="BG25" s="77"/>
    </row>
    <row r="26" spans="1:59" ht="12.75">
      <c r="A26" s="64" t="str">
        <f>IF(N_Fgl&gt;1,"2° figlio"," ")</f>
        <v> </v>
      </c>
      <c r="B26" s="63"/>
      <c r="C26" s="43"/>
      <c r="D26" s="63"/>
      <c r="E26" s="63"/>
      <c r="F26" s="43"/>
      <c r="G26" s="63"/>
      <c r="H26" s="63"/>
      <c r="I26" s="43"/>
      <c r="J26" s="63"/>
      <c r="K26" s="63"/>
      <c r="L26" s="66" t="str">
        <f>IF($D$23&gt;1,ROUND(AB26/12,2),Vuota1)</f>
        <v>        </v>
      </c>
      <c r="M26" s="234"/>
      <c r="N26" s="188"/>
      <c r="O26" s="235"/>
      <c r="P26" s="245"/>
      <c r="Q26" s="64" t="str">
        <f>IF(N_Fgl&gt;1,"2° figlio"," ")</f>
        <v> </v>
      </c>
      <c r="R26" s="63"/>
      <c r="S26" s="43">
        <f t="shared" si="2"/>
        <v>0</v>
      </c>
      <c r="T26" s="63"/>
      <c r="U26" s="63"/>
      <c r="V26" s="43">
        <f t="shared" si="3"/>
        <v>0</v>
      </c>
      <c r="W26" s="63"/>
      <c r="X26" s="63"/>
      <c r="Y26" s="43">
        <f t="shared" si="4"/>
        <v>0</v>
      </c>
      <c r="Z26" s="63"/>
      <c r="AA26" s="43"/>
      <c r="AB26" s="66" t="str">
        <f>IF(N_Fgl&gt;1,ROUND(dsfig*Percm,2)+IF(V26&gt;0,ROUND((dsfg3-dsfig)*Percm,2),0)+IF(Y26&gt;0,ROUND(dsfhc*Percm,2),0),Vuota1)</f>
        <v>        </v>
      </c>
      <c r="AC26" s="234"/>
      <c r="AD26" s="188"/>
      <c r="AE26" s="235"/>
      <c r="AF26" s="245"/>
      <c r="AI26" s="315"/>
      <c r="AJ26" s="316"/>
      <c r="AK26" s="77"/>
      <c r="AL26" s="128"/>
      <c r="AM26" s="129"/>
      <c r="AP26" s="87"/>
      <c r="AQ26" s="8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</row>
    <row r="27" spans="1:59" ht="12.75">
      <c r="A27" s="64" t="str">
        <f>IF(N_Fgl&gt;2,"3° figlio"," ")</f>
        <v> </v>
      </c>
      <c r="B27" s="63"/>
      <c r="C27" s="43"/>
      <c r="D27" s="63"/>
      <c r="E27" s="63"/>
      <c r="F27" s="43"/>
      <c r="G27" s="63"/>
      <c r="H27" s="63"/>
      <c r="I27" s="43"/>
      <c r="J27" s="63"/>
      <c r="K27" s="63"/>
      <c r="L27" s="66" t="str">
        <f>IF($D$23&gt;2,ROUND(AB27/12,2),Vuota1)</f>
        <v>        </v>
      </c>
      <c r="M27" s="236"/>
      <c r="N27" s="237"/>
      <c r="O27" s="238"/>
      <c r="P27" s="246"/>
      <c r="Q27" s="64" t="str">
        <f>IF(N_Fgl&gt;2,"3° figlio"," ")</f>
        <v> </v>
      </c>
      <c r="R27" s="63"/>
      <c r="S27" s="43">
        <f t="shared" si="2"/>
        <v>0</v>
      </c>
      <c r="T27" s="63"/>
      <c r="U27" s="63"/>
      <c r="V27" s="43">
        <f t="shared" si="3"/>
        <v>0</v>
      </c>
      <c r="W27" s="63"/>
      <c r="X27" s="63"/>
      <c r="Y27" s="43">
        <f t="shared" si="4"/>
        <v>0</v>
      </c>
      <c r="Z27" s="63"/>
      <c r="AA27" s="43"/>
      <c r="AB27" s="66" t="str">
        <f>IF(N_Fgl&gt;2,ROUND(dsfig*Percm,2)+IF(V27&gt;0,ROUND((dsfg3-dsfig)*Percm,2),0)+IF(Y27&gt;0,ROUND(dsfhc*Percm,2),0),Vuota1)</f>
        <v>        </v>
      </c>
      <c r="AC27" s="236"/>
      <c r="AD27" s="237"/>
      <c r="AE27" s="238"/>
      <c r="AF27" s="246"/>
      <c r="AH27" s="106">
        <f>IF($AD$23&gt;0,IF($AH$25&gt;Cng_nn,ROUND($AH$25,2),ROUND(Cng_nn,5)),AH25)</f>
        <v>0</v>
      </c>
      <c r="AI27" s="315"/>
      <c r="AJ27" s="316"/>
      <c r="AK27" s="77"/>
      <c r="AL27" s="128"/>
      <c r="AM27" s="129"/>
      <c r="AP27" s="87"/>
      <c r="AQ27" s="8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</row>
    <row r="28" spans="1:59" ht="12.75">
      <c r="A28" s="64" t="str">
        <f>IF(N_Fgl&gt;3,"4° figlio"," ")</f>
        <v> </v>
      </c>
      <c r="B28" s="63"/>
      <c r="C28" s="43"/>
      <c r="D28" s="63"/>
      <c r="E28" s="63"/>
      <c r="F28" s="43"/>
      <c r="G28" s="63"/>
      <c r="H28" s="63"/>
      <c r="I28" s="43"/>
      <c r="J28" s="63"/>
      <c r="K28" s="63"/>
      <c r="L28" s="66" t="str">
        <f>IF($D$23&gt;3,ROUND(AB28/12,2),Vuota1)</f>
        <v>        </v>
      </c>
      <c r="M28" s="319" t="str">
        <f>IF(N23&gt;0,IF(P25=50%,"Attenzione: la percentuale deve essere 100%",Vuota1),Vuota1)</f>
        <v>        </v>
      </c>
      <c r="N28" s="319"/>
      <c r="O28" s="319"/>
      <c r="P28" s="320"/>
      <c r="Q28" s="64" t="str">
        <f>IF(N_Fgl&gt;3,"4° figlio"," ")</f>
        <v> </v>
      </c>
      <c r="R28" s="63"/>
      <c r="S28" s="43">
        <f t="shared" si="2"/>
        <v>0</v>
      </c>
      <c r="T28" s="63"/>
      <c r="U28" s="63"/>
      <c r="V28" s="43">
        <f t="shared" si="3"/>
        <v>0</v>
      </c>
      <c r="W28" s="63"/>
      <c r="X28" s="63"/>
      <c r="Y28" s="43">
        <f t="shared" si="4"/>
        <v>0</v>
      </c>
      <c r="Z28" s="63"/>
      <c r="AA28" s="43"/>
      <c r="AB28" s="66" t="str">
        <f>IF(N_Fgl&gt;3,ROUND(dsfig*Percm,2)+IF(V28&gt;0,ROUND((dsfg3-dsfig)*Percm,2),0)+IF(Y28&gt;0,ROUND(dsfhc*Percm,2),0),Vuota1)</f>
        <v>        </v>
      </c>
      <c r="AC28" s="20"/>
      <c r="AD28" s="20"/>
      <c r="AE28" s="20"/>
      <c r="AF28" s="62"/>
      <c r="AI28" s="315"/>
      <c r="AJ28" s="316"/>
      <c r="AK28" s="77"/>
      <c r="AL28" s="128"/>
      <c r="AM28" s="129"/>
      <c r="AP28" s="87"/>
      <c r="AQ28" s="8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</row>
    <row r="29" spans="1:59" ht="13.5" thickBot="1">
      <c r="A29" s="64" t="str">
        <f>IF(N_Fgl&gt;4,"5° figlio"," ")</f>
        <v> </v>
      </c>
      <c r="B29" s="63"/>
      <c r="C29" s="43"/>
      <c r="D29" s="63"/>
      <c r="E29" s="63"/>
      <c r="F29" s="43"/>
      <c r="G29" s="63"/>
      <c r="H29" s="63"/>
      <c r="I29" s="43"/>
      <c r="J29" s="63"/>
      <c r="K29" s="63"/>
      <c r="L29" s="66" t="str">
        <f>IF($D$23&gt;4,ROUND(AB29/12,2),Vuota1)</f>
        <v>        </v>
      </c>
      <c r="M29" s="321"/>
      <c r="N29" s="321"/>
      <c r="O29" s="321"/>
      <c r="P29" s="322"/>
      <c r="Q29" s="64" t="str">
        <f>IF(N_Fgl&gt;4,"5° figlio"," ")</f>
        <v> </v>
      </c>
      <c r="R29" s="63"/>
      <c r="S29" s="43">
        <f t="shared" si="2"/>
        <v>0</v>
      </c>
      <c r="T29" s="63"/>
      <c r="U29" s="63"/>
      <c r="V29" s="43">
        <f t="shared" si="3"/>
        <v>0</v>
      </c>
      <c r="W29" s="63"/>
      <c r="X29" s="63"/>
      <c r="Y29" s="43">
        <f t="shared" si="4"/>
        <v>0</v>
      </c>
      <c r="Z29" s="63"/>
      <c r="AA29" s="43"/>
      <c r="AB29" s="66" t="str">
        <f>IF(N_Fgl&gt;4,ROUND(dsfig*Percm,2)+IF(V29&gt;0,ROUND((dsfg3-dsfig)*Percm,2),0)+IF(Y29&gt;0,ROUND(dsfhc*Percm,2),0),Vuota1)</f>
        <v>        </v>
      </c>
      <c r="AC29" s="20"/>
      <c r="AD29" s="20"/>
      <c r="AE29" s="20"/>
      <c r="AF29" s="62"/>
      <c r="AI29" s="315"/>
      <c r="AJ29" s="316"/>
      <c r="AK29" s="77"/>
      <c r="AL29" s="128"/>
      <c r="AM29" s="129"/>
      <c r="AP29" s="87"/>
      <c r="AQ29" s="8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</row>
    <row r="30" spans="1:59" ht="13.5" thickTop="1">
      <c r="A30" s="64" t="str">
        <f>IF(N_Fgl&gt;5,"6° figlio"," ")</f>
        <v> </v>
      </c>
      <c r="B30" s="63"/>
      <c r="C30" s="43"/>
      <c r="D30" s="63"/>
      <c r="E30" s="63"/>
      <c r="F30" s="43"/>
      <c r="G30" s="63"/>
      <c r="H30" s="63"/>
      <c r="I30" s="43"/>
      <c r="J30" s="63"/>
      <c r="K30" s="63"/>
      <c r="L30" s="66" t="str">
        <f>IF($D$23&gt;5,ROUND(AB30/12,2),Vuota1)</f>
        <v>        </v>
      </c>
      <c r="M30" s="20"/>
      <c r="N30" s="20"/>
      <c r="O30" s="20"/>
      <c r="P30" s="62"/>
      <c r="Q30" s="64" t="str">
        <f>IF(N_Fgl&gt;5,"6° figlio"," ")</f>
        <v> </v>
      </c>
      <c r="R30" s="63"/>
      <c r="S30" s="43">
        <f t="shared" si="2"/>
        <v>0</v>
      </c>
      <c r="T30" s="63"/>
      <c r="U30" s="63"/>
      <c r="V30" s="43">
        <f t="shared" si="3"/>
        <v>0</v>
      </c>
      <c r="W30" s="63"/>
      <c r="X30" s="63"/>
      <c r="Y30" s="43">
        <f t="shared" si="4"/>
        <v>0</v>
      </c>
      <c r="Z30" s="63"/>
      <c r="AA30" s="43"/>
      <c r="AB30" s="66" t="str">
        <f>IF(N_Fgl&gt;5,ROUND(dsfig*Percm,2)+IF(V30&gt;0,ROUND((dsfg3-dsfig)*Percm,2),0)+IF(Y30&gt;0,ROUND(dsfhc*Percm,2),0),Vuota1)</f>
        <v>        </v>
      </c>
      <c r="AC30" s="20"/>
      <c r="AD30" s="20"/>
      <c r="AE30" s="20"/>
      <c r="AF30" s="62"/>
      <c r="AI30" s="315"/>
      <c r="AJ30" s="316"/>
      <c r="AK30" s="77"/>
      <c r="AL30" s="128"/>
      <c r="AM30" s="129"/>
      <c r="AP30" s="87"/>
      <c r="AQ30" s="87"/>
      <c r="AT30" s="77"/>
      <c r="AU30" s="253" t="s">
        <v>99</v>
      </c>
      <c r="AV30" s="254"/>
      <c r="AW30" s="255"/>
      <c r="AX30" s="77"/>
      <c r="AY30" s="77"/>
      <c r="AZ30" s="77"/>
      <c r="BA30" s="77"/>
      <c r="BB30" s="77"/>
      <c r="BC30" s="77"/>
      <c r="BD30" s="77"/>
      <c r="BE30" s="77"/>
      <c r="BF30" s="77"/>
      <c r="BG30" s="77"/>
    </row>
    <row r="31" spans="1:59" ht="12.75">
      <c r="A31" s="64" t="str">
        <f>IF(N_Fgl&gt;6,"7° figlio"," ")</f>
        <v> </v>
      </c>
      <c r="B31" s="63"/>
      <c r="C31" s="43"/>
      <c r="D31" s="63"/>
      <c r="E31" s="63"/>
      <c r="F31" s="43"/>
      <c r="G31" s="63"/>
      <c r="H31" s="63"/>
      <c r="I31" s="43"/>
      <c r="J31" s="63"/>
      <c r="K31" s="63"/>
      <c r="L31" s="66" t="str">
        <f>IF($D$23&gt;6,ROUND(AB31/12,2),Vuota1)</f>
        <v>        </v>
      </c>
      <c r="M31" s="20"/>
      <c r="N31" s="20"/>
      <c r="O31" s="20"/>
      <c r="P31" s="62"/>
      <c r="Q31" s="64" t="str">
        <f>IF(N_Fgl&gt;6,"7° figlio"," ")</f>
        <v> </v>
      </c>
      <c r="R31" s="63"/>
      <c r="S31" s="43">
        <f t="shared" si="2"/>
        <v>0</v>
      </c>
      <c r="T31" s="63"/>
      <c r="U31" s="63"/>
      <c r="V31" s="43">
        <f t="shared" si="3"/>
        <v>0</v>
      </c>
      <c r="W31" s="63"/>
      <c r="X31" s="63"/>
      <c r="Y31" s="43">
        <f t="shared" si="4"/>
        <v>0</v>
      </c>
      <c r="Z31" s="63"/>
      <c r="AA31" s="43"/>
      <c r="AB31" s="66" t="str">
        <f>IF(N_Fgl&gt;6,ROUND(dsfig*Percm,2)+IF(V31&gt;0,ROUND((dsfg3-dsfig)*Percm,2),0)+IF(Y31&gt;0,ROUND(dsfhc*Percm,2),0),Vuota1)</f>
        <v>        </v>
      </c>
      <c r="AC31" s="20"/>
      <c r="AD31" s="20"/>
      <c r="AE31" s="20"/>
      <c r="AF31" s="62"/>
      <c r="AI31" s="315"/>
      <c r="AJ31" s="316"/>
      <c r="AK31" s="77"/>
      <c r="AL31" s="128"/>
      <c r="AM31" s="129"/>
      <c r="AP31" s="87"/>
      <c r="AQ31" s="87"/>
      <c r="AT31" s="77"/>
      <c r="AU31" s="256"/>
      <c r="AV31" s="257"/>
      <c r="AW31" s="258"/>
      <c r="AX31" s="77"/>
      <c r="AY31" s="77"/>
      <c r="AZ31" s="77"/>
      <c r="BA31" s="77"/>
      <c r="BB31" s="77"/>
      <c r="BC31" s="77"/>
      <c r="BD31" s="77"/>
      <c r="BE31" s="77"/>
      <c r="BF31" s="77"/>
      <c r="BG31" s="77"/>
    </row>
    <row r="32" spans="1:59" ht="12.75">
      <c r="A32" s="5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62"/>
      <c r="Q32" s="57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62"/>
      <c r="AI32" s="315"/>
      <c r="AJ32" s="316"/>
      <c r="AK32" s="77"/>
      <c r="AL32" s="128"/>
      <c r="AM32" s="129"/>
      <c r="AP32" s="87"/>
      <c r="AQ32" s="87"/>
      <c r="AT32" s="77"/>
      <c r="AU32" s="256"/>
      <c r="AV32" s="257"/>
      <c r="AW32" s="258"/>
      <c r="AX32" s="77"/>
      <c r="AY32" s="77"/>
      <c r="AZ32" s="77"/>
      <c r="BA32" s="77"/>
      <c r="BB32" s="77"/>
      <c r="BC32" s="77"/>
      <c r="BD32" s="77"/>
      <c r="BE32" s="77"/>
      <c r="BF32" s="77"/>
      <c r="BG32" s="77"/>
    </row>
    <row r="33" spans="1:59" ht="12.75" customHeight="1">
      <c r="A33" s="286" t="s">
        <v>86</v>
      </c>
      <c r="B33" s="287"/>
      <c r="C33" s="288"/>
      <c r="D33" s="2"/>
      <c r="E33" s="20"/>
      <c r="F33" s="63"/>
      <c r="G33" s="63"/>
      <c r="H33" s="63"/>
      <c r="I33" s="45"/>
      <c r="J33" s="20"/>
      <c r="K33" s="188" t="str">
        <f>IF(D33&gt;0,"Indicare il numero complessivo degli aventi diritto alla detrazione pro quota",Vuota1)</f>
        <v>        </v>
      </c>
      <c r="L33" s="179"/>
      <c r="M33" s="179"/>
      <c r="N33" s="179"/>
      <c r="O33" s="179"/>
      <c r="P33" s="223"/>
      <c r="Q33" s="286" t="s">
        <v>86</v>
      </c>
      <c r="R33" s="287"/>
      <c r="S33" s="288"/>
      <c r="T33" s="2">
        <f>+D33</f>
        <v>0</v>
      </c>
      <c r="U33" s="20"/>
      <c r="V33" s="63" t="str">
        <f>IF(T33&gt;0,"Mesi a carico",Vuota1)</f>
        <v>        </v>
      </c>
      <c r="W33" s="63"/>
      <c r="X33" s="63"/>
      <c r="Y33" s="45">
        <v>12</v>
      </c>
      <c r="Z33" s="20"/>
      <c r="AA33" s="188" t="str">
        <f>IF(T33&gt;0,"Indicare il numero complessivo degli aventi diritto alla detrazione pro quota",Vuota1)</f>
        <v>        </v>
      </c>
      <c r="AB33" s="311"/>
      <c r="AC33" s="311"/>
      <c r="AD33" s="311"/>
      <c r="AE33" s="311"/>
      <c r="AF33" s="223">
        <f>+P33</f>
        <v>0</v>
      </c>
      <c r="AI33" s="315"/>
      <c r="AJ33" s="316"/>
      <c r="AK33" s="77"/>
      <c r="AL33" s="128"/>
      <c r="AM33" s="129"/>
      <c r="AP33" s="87"/>
      <c r="AQ33" s="87"/>
      <c r="AT33" s="77"/>
      <c r="AU33" s="256"/>
      <c r="AV33" s="257"/>
      <c r="AW33" s="258"/>
      <c r="AX33" s="77"/>
      <c r="AY33" s="77"/>
      <c r="AZ33" s="77"/>
      <c r="BA33" s="77"/>
      <c r="BB33" s="77"/>
      <c r="BC33" s="77"/>
      <c r="BD33" s="77"/>
      <c r="BE33" s="77"/>
      <c r="BF33" s="77"/>
      <c r="BG33" s="77"/>
    </row>
    <row r="34" spans="1:59" ht="12.75">
      <c r="A34" s="80"/>
      <c r="B34" s="81"/>
      <c r="C34" s="81"/>
      <c r="D34" s="82"/>
      <c r="E34" s="20"/>
      <c r="F34" s="63"/>
      <c r="G34" s="63"/>
      <c r="H34" s="63"/>
      <c r="I34" s="45"/>
      <c r="J34" s="20"/>
      <c r="K34" s="180"/>
      <c r="L34" s="180"/>
      <c r="M34" s="180"/>
      <c r="N34" s="180"/>
      <c r="O34" s="180"/>
      <c r="P34" s="224"/>
      <c r="Q34" s="80"/>
      <c r="R34" s="81"/>
      <c r="S34" s="81"/>
      <c r="T34" s="82"/>
      <c r="U34" s="20"/>
      <c r="V34" s="63"/>
      <c r="W34" s="63"/>
      <c r="X34" s="63"/>
      <c r="Y34" s="45"/>
      <c r="Z34" s="20"/>
      <c r="AA34" s="180"/>
      <c r="AB34" s="180"/>
      <c r="AC34" s="180"/>
      <c r="AD34" s="180"/>
      <c r="AE34" s="180"/>
      <c r="AF34" s="224"/>
      <c r="AI34" s="315"/>
      <c r="AJ34" s="316"/>
      <c r="AK34" s="77"/>
      <c r="AL34" s="128"/>
      <c r="AM34" s="129"/>
      <c r="AP34" s="87"/>
      <c r="AQ34" s="87"/>
      <c r="AT34" s="77"/>
      <c r="AU34" s="256"/>
      <c r="AV34" s="257"/>
      <c r="AW34" s="258"/>
      <c r="AX34" s="77"/>
      <c r="AY34" s="77"/>
      <c r="AZ34" s="77"/>
      <c r="BA34" s="77"/>
      <c r="BB34" s="77"/>
      <c r="BC34" s="77"/>
      <c r="BD34" s="77"/>
      <c r="BE34" s="77"/>
      <c r="BF34" s="77"/>
      <c r="BG34" s="77"/>
    </row>
    <row r="35" spans="1:59" ht="12.75">
      <c r="A35" s="165" t="s">
        <v>70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7"/>
      <c r="Q35" s="165" t="s">
        <v>70</v>
      </c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7"/>
      <c r="AI35" s="315"/>
      <c r="AJ35" s="316"/>
      <c r="AK35" s="77"/>
      <c r="AL35" s="120">
        <v>0.0001</v>
      </c>
      <c r="AM35" s="121">
        <f>ROUND(DetrConiuge-(Ind*Rapp),2)</f>
        <v>800</v>
      </c>
      <c r="AO35">
        <f>IF(AP35&gt;0,1,0)</f>
        <v>0</v>
      </c>
      <c r="AP35" s="87"/>
      <c r="AQ35" s="87">
        <v>200</v>
      </c>
      <c r="AT35" s="77"/>
      <c r="AU35" s="256"/>
      <c r="AV35" s="257"/>
      <c r="AW35" s="258"/>
      <c r="AX35" s="77"/>
      <c r="AY35" s="77"/>
      <c r="AZ35" s="77"/>
      <c r="BA35" s="77"/>
      <c r="BB35" s="77"/>
      <c r="BC35" s="77"/>
      <c r="BD35" s="77"/>
      <c r="BE35" s="77"/>
      <c r="BF35" s="77"/>
      <c r="BG35" s="77"/>
    </row>
    <row r="36" spans="1:59" ht="12.75">
      <c r="A36" s="290" t="s">
        <v>32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2"/>
      <c r="Q36" s="290" t="s">
        <v>32</v>
      </c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2"/>
      <c r="AH36" s="184" t="s">
        <v>62</v>
      </c>
      <c r="AI36" s="315"/>
      <c r="AJ36" s="316"/>
      <c r="AK36" s="77"/>
      <c r="AL36" s="122">
        <v>1</v>
      </c>
      <c r="AM36" s="121">
        <f>+DetrRid</f>
        <v>690</v>
      </c>
      <c r="AO36">
        <f>IF(AP36&gt;0,1,0)</f>
        <v>0</v>
      </c>
      <c r="AP36" s="87"/>
      <c r="AQ36" s="87">
        <v>1500</v>
      </c>
      <c r="AT36" s="77"/>
      <c r="AU36" s="256"/>
      <c r="AV36" s="257"/>
      <c r="AW36" s="258"/>
      <c r="AX36" s="77"/>
      <c r="AY36" s="77"/>
      <c r="AZ36" s="77"/>
      <c r="BA36" s="77"/>
      <c r="BB36" s="77"/>
      <c r="BC36" s="77"/>
      <c r="BD36" s="77"/>
      <c r="BE36" s="77"/>
      <c r="BF36" s="77"/>
      <c r="BG36" s="77"/>
    </row>
    <row r="37" spans="1:59" ht="12.75">
      <c r="A37" s="225" t="s">
        <v>19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7"/>
      <c r="M37" s="3">
        <f>ROUND(AC37/12,0)</f>
        <v>0</v>
      </c>
      <c r="N37" s="20"/>
      <c r="O37" s="20"/>
      <c r="P37" s="62"/>
      <c r="Q37" s="225" t="s">
        <v>19</v>
      </c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7"/>
      <c r="AC37" s="3">
        <f>IF(CNG="SI",ROUND((VLOOKUP(Redd_Detraz,ConDetr,3)+VLOOKUP(Redd_Detraz,LettB,3))/12*Me_co,2),0)</f>
        <v>0</v>
      </c>
      <c r="AD37" s="20"/>
      <c r="AE37" s="20"/>
      <c r="AF37" s="62"/>
      <c r="AH37" s="184"/>
      <c r="AI37" s="315"/>
      <c r="AJ37" s="316"/>
      <c r="AK37" s="77"/>
      <c r="AL37" s="123">
        <v>10</v>
      </c>
      <c r="AM37" s="124">
        <f>ROUND(DetrConiuge-(Ind*Rapp),2)</f>
        <v>800</v>
      </c>
      <c r="AO37">
        <f>SUM(AO18:AO36)</f>
        <v>0</v>
      </c>
      <c r="AT37" s="77"/>
      <c r="AU37" s="256"/>
      <c r="AV37" s="257"/>
      <c r="AW37" s="258"/>
      <c r="AX37" s="77"/>
      <c r="AY37" s="77"/>
      <c r="AZ37" s="77"/>
      <c r="BA37" s="77"/>
      <c r="BB37" s="77"/>
      <c r="BC37" s="77"/>
      <c r="BD37" s="77"/>
      <c r="BE37" s="77"/>
      <c r="BF37" s="77"/>
      <c r="BG37" s="77"/>
    </row>
    <row r="38" spans="1:59" ht="13.5" thickBot="1">
      <c r="A38" s="225" t="s">
        <v>42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7"/>
      <c r="M38" s="3">
        <f>ROUND(AC38/12,0)</f>
        <v>0</v>
      </c>
      <c r="N38" s="20"/>
      <c r="O38" s="20"/>
      <c r="P38" s="62"/>
      <c r="Q38" s="225" t="s">
        <v>42</v>
      </c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7"/>
      <c r="AC38" s="3">
        <f>SUMIF(AB25:AB31,"&gt;0")</f>
        <v>0</v>
      </c>
      <c r="AD38" s="20"/>
      <c r="AE38" s="20"/>
      <c r="AF38" s="62"/>
      <c r="AH38" s="109">
        <f>IF(Lordo&gt;0,ROUND((VLOOKUP(Redd_Detraz,ConDetr,3)+VLOOKUP(Redd_Detraz,LettB,3)),5),0)</f>
        <v>0</v>
      </c>
      <c r="AI38" s="315"/>
      <c r="AJ38" s="110">
        <v>40000</v>
      </c>
      <c r="AK38" s="77"/>
      <c r="AL38" s="125"/>
      <c r="AM38" s="126">
        <f>+DetrRid</f>
        <v>690</v>
      </c>
      <c r="AT38" s="77"/>
      <c r="AU38" s="259"/>
      <c r="AV38" s="260"/>
      <c r="AW38" s="261"/>
      <c r="AX38" s="77"/>
      <c r="AY38" s="77"/>
      <c r="AZ38" s="77"/>
      <c r="BA38" s="77"/>
      <c r="BB38" s="77"/>
      <c r="BC38" s="77"/>
      <c r="BD38" s="77"/>
      <c r="BE38" s="77"/>
      <c r="BF38" s="77"/>
      <c r="BG38" s="77"/>
    </row>
    <row r="39" spans="1:59" ht="13.5" thickTop="1">
      <c r="A39" s="225" t="s">
        <v>56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7"/>
      <c r="M39" s="3">
        <f>IF(D33&gt;0,IF(P33&gt;0,ROUND(AC39/12,0),0),0)</f>
        <v>0</v>
      </c>
      <c r="N39" s="20"/>
      <c r="O39" s="20"/>
      <c r="P39" s="62"/>
      <c r="Q39" s="225" t="s">
        <v>56</v>
      </c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7"/>
      <c r="AC39" s="3">
        <f>IF(T33&gt;0,ROUND(dsaltri*T33/12*Y33/AF33,2),0)</f>
        <v>0</v>
      </c>
      <c r="AD39" s="20"/>
      <c r="AE39" s="20"/>
      <c r="AF39" s="62"/>
      <c r="AI39" s="315"/>
      <c r="AJ39" s="316">
        <v>80000</v>
      </c>
      <c r="AK39" s="77"/>
      <c r="AL39" s="118">
        <v>0</v>
      </c>
      <c r="AM39" s="119">
        <v>0</v>
      </c>
      <c r="AP39">
        <f>IF(AO37&gt;0,IF(VLOOKUP(AP42,abi,2)&lt;DetrRid,DetrRid,VLOOKUP(AP42,abi,2)),0)</f>
        <v>0</v>
      </c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</row>
    <row r="40" spans="1:59" ht="12.75">
      <c r="A40" s="172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4"/>
      <c r="Q40" s="172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4"/>
      <c r="AH40" s="184" t="s">
        <v>63</v>
      </c>
      <c r="AI40" s="315"/>
      <c r="AJ40" s="316"/>
      <c r="AK40" s="77"/>
      <c r="AL40" s="120">
        <v>0.0001</v>
      </c>
      <c r="AM40" s="121">
        <f>ROUND(DetrRid*Rap1,2)</f>
        <v>1380</v>
      </c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</row>
    <row r="41" spans="1:59" ht="12.75">
      <c r="A41" s="225" t="s">
        <v>76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7"/>
      <c r="M41" s="3">
        <f>SUM(M37:M39)</f>
        <v>0</v>
      </c>
      <c r="N41" s="20"/>
      <c r="O41" s="20"/>
      <c r="P41" s="62"/>
      <c r="Q41" s="225" t="s">
        <v>76</v>
      </c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7"/>
      <c r="AC41" s="3">
        <f>SUM(AC37:AC39)</f>
        <v>0</v>
      </c>
      <c r="AD41" s="20"/>
      <c r="AE41" s="20"/>
      <c r="AF41" s="62"/>
      <c r="AH41" s="184"/>
      <c r="AI41" s="315"/>
      <c r="AJ41" s="316"/>
      <c r="AK41" s="77"/>
      <c r="AL41" s="122">
        <v>1</v>
      </c>
      <c r="AM41" s="121">
        <f>ROUND(DetrRid*Rap1,2)</f>
        <v>1380</v>
      </c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</row>
    <row r="42" spans="1:59" ht="12.75">
      <c r="A42" s="165" t="s">
        <v>71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7"/>
      <c r="Q42" s="165" t="s">
        <v>71</v>
      </c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7"/>
      <c r="AH42" s="106">
        <f>dsfig+IF($V$25&gt;0,dsfg3-dsfig,0)+IF($Y$25&gt;0,dsfhc,0)</f>
        <v>0</v>
      </c>
      <c r="AI42" s="315"/>
      <c r="AJ42" s="316"/>
      <c r="AK42" s="77"/>
      <c r="AL42" s="123">
        <v>10</v>
      </c>
      <c r="AM42" s="124">
        <f>ROUND(DetrRid*Rap1,2)</f>
        <v>1380</v>
      </c>
      <c r="AP42" t="s">
        <v>58</v>
      </c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</row>
    <row r="43" spans="1:59" ht="12.75">
      <c r="A43" s="155" t="s">
        <v>73</v>
      </c>
      <c r="B43" s="156"/>
      <c r="C43" s="156"/>
      <c r="D43" s="156"/>
      <c r="E43" s="156"/>
      <c r="F43" s="157"/>
      <c r="G43" s="46" t="str">
        <f>IF(E17&gt;0,IF(G44&gt;0,Vuota1,"x"),Vuota1)</f>
        <v>        </v>
      </c>
      <c r="H43" s="63"/>
      <c r="I43" s="312" t="s">
        <v>141</v>
      </c>
      <c r="J43" s="158"/>
      <c r="K43" s="158"/>
      <c r="L43" s="158"/>
      <c r="M43" s="2">
        <v>30</v>
      </c>
      <c r="N43" s="20"/>
      <c r="O43" s="20"/>
      <c r="P43" s="62"/>
      <c r="Q43" s="155" t="s">
        <v>73</v>
      </c>
      <c r="R43" s="156"/>
      <c r="S43" s="156"/>
      <c r="T43" s="156"/>
      <c r="U43" s="156"/>
      <c r="V43" s="157"/>
      <c r="W43" s="46" t="str">
        <f>IF(W44&gt;0,Vuota1,"x")</f>
        <v>x</v>
      </c>
      <c r="X43" s="63"/>
      <c r="Y43" s="312" t="s">
        <v>75</v>
      </c>
      <c r="Z43" s="158"/>
      <c r="AA43" s="158"/>
      <c r="AB43" s="158"/>
      <c r="AC43" s="2">
        <v>365</v>
      </c>
      <c r="AD43" s="20"/>
      <c r="AE43" s="20"/>
      <c r="AF43" s="62"/>
      <c r="AI43" s="315"/>
      <c r="AJ43" s="114">
        <v>1000000000</v>
      </c>
      <c r="AK43" s="77"/>
      <c r="AL43" s="130">
        <v>0</v>
      </c>
      <c r="AM43" s="124">
        <v>0</v>
      </c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</row>
    <row r="44" spans="1:59" ht="12.75">
      <c r="A44" s="67" t="s">
        <v>74</v>
      </c>
      <c r="B44" s="68"/>
      <c r="C44" s="68"/>
      <c r="D44" s="68"/>
      <c r="E44" s="68"/>
      <c r="F44" s="20"/>
      <c r="G44" s="2"/>
      <c r="H44" s="63"/>
      <c r="I44" s="63"/>
      <c r="J44" s="63"/>
      <c r="K44" s="158" t="s">
        <v>77</v>
      </c>
      <c r="L44" s="158"/>
      <c r="M44" s="158"/>
      <c r="N44" s="159"/>
      <c r="O44" s="39">
        <f>IF(E17&gt;0,ROUND(AE44/365*M43,0),0)</f>
        <v>0</v>
      </c>
      <c r="P44" s="62"/>
      <c r="Q44" s="67" t="s">
        <v>74</v>
      </c>
      <c r="R44" s="68"/>
      <c r="S44" s="68"/>
      <c r="T44" s="68"/>
      <c r="U44" s="68"/>
      <c r="V44" s="20"/>
      <c r="W44" s="2">
        <f>+G44</f>
        <v>0</v>
      </c>
      <c r="X44" s="63"/>
      <c r="Y44" s="63"/>
      <c r="Z44" s="63"/>
      <c r="AA44" s="158" t="s">
        <v>77</v>
      </c>
      <c r="AB44" s="158"/>
      <c r="AC44" s="158"/>
      <c r="AD44" s="159"/>
      <c r="AE44" s="39">
        <f>IF(Lordo&gt;0,IF(W44&gt;0,IF(Redd_Detraz&lt;8000.01,IF(AH44&gt;AH47,AH44,AH47),AH44),IF(Redd_Detraz&lt;8000.01,IF(AH44&gt;AH46,AH44,AH46),AH44)),0)</f>
        <v>0</v>
      </c>
      <c r="AF44" s="62"/>
      <c r="AH44" s="373">
        <f>IF(Redd_Detraz&gt;0,ROUND((VLOOKUP(Redd_Detraz,Altre_detraz,2)/365*AC43+VLOOKUP(Redd_Detraz,Aum_altre,2)),5),0)</f>
        <v>0</v>
      </c>
      <c r="AI44" s="315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</row>
    <row r="45" spans="1:59" ht="12.75" customHeight="1" thickBot="1">
      <c r="A45" s="6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70"/>
      <c r="Q45" s="69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70"/>
      <c r="AI45" s="315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</row>
    <row r="46" spans="1:59" ht="12.75" customHeight="1" thickBot="1">
      <c r="A46" s="220" t="s">
        <v>142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2"/>
      <c r="O46" s="228">
        <f>+E17-L18</f>
        <v>0</v>
      </c>
      <c r="P46" s="228"/>
      <c r="Q46" s="71" t="s">
        <v>20</v>
      </c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228">
        <f>+Reddito_imponibile_mensile+Gratif_Anno</f>
        <v>0</v>
      </c>
      <c r="AF46" s="228"/>
      <c r="AH46" s="106">
        <v>690</v>
      </c>
      <c r="AI46" s="315"/>
      <c r="AJ46" s="106">
        <v>0.001</v>
      </c>
      <c r="AK46" s="87"/>
      <c r="AL46" s="106">
        <f>VLOOKUP(Rapp,quin,2)</f>
        <v>0</v>
      </c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</row>
    <row r="47" spans="1:59" ht="12.75" customHeight="1" thickBot="1">
      <c r="A47" s="220" t="s">
        <v>143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2"/>
      <c r="O47" s="162">
        <f>ROUND(IreTab/12,5)</f>
        <v>0</v>
      </c>
      <c r="P47" s="162"/>
      <c r="Q47" s="35" t="s">
        <v>60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14">
        <f>IF(Lordo&gt;0,IF(Reddito_imponibile_mensile&gt;0,ROUND((Reddito_imponibile_mensile-VLOOKUP(Reddito_imponibile_mensile,Aliquote,1))*VLOOKUP(Reddito_imponibile_mensile,Aliquote,3),5)+VLOOKUP(Reddito_imponibile_mensile,Aliquote,4),0)+IF(Gratif_Anno&gt;0,ROUND(Gratif_Anno*VLOOKUP(ReddNetto,Aliquote,3),5),0),0)</f>
        <v>0</v>
      </c>
      <c r="AF47" s="314"/>
      <c r="AH47" s="106">
        <v>1380</v>
      </c>
      <c r="AI47" s="315"/>
      <c r="AJ47" s="106">
        <v>15000</v>
      </c>
      <c r="AK47" s="87"/>
      <c r="AL47" s="106">
        <f>+DetrRid</f>
        <v>690</v>
      </c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</row>
    <row r="48" spans="1:59" ht="13.5" thickBot="1">
      <c r="A48" s="220" t="s">
        <v>144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2"/>
      <c r="O48" s="162">
        <f>+M41+O44</f>
        <v>0</v>
      </c>
      <c r="P48" s="162"/>
      <c r="Q48" s="37" t="s">
        <v>36</v>
      </c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162">
        <f>+AC41+AE44</f>
        <v>0</v>
      </c>
      <c r="AF48" s="162"/>
      <c r="AI48" s="315"/>
      <c r="AJ48" s="106">
        <v>40000</v>
      </c>
      <c r="AK48" s="87"/>
      <c r="AL48" s="106">
        <f>VLOOKUP(Rap1,ottan,2)</f>
        <v>1380</v>
      </c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</row>
    <row r="49" spans="1:59" ht="16.5" thickBot="1">
      <c r="A49" s="296" t="s">
        <v>147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97"/>
      <c r="O49" s="326">
        <f>IF(O47-O48&gt;0,O47-O48,0)</f>
        <v>0</v>
      </c>
      <c r="P49" s="178"/>
      <c r="Q49" s="71" t="s">
        <v>61</v>
      </c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177">
        <f>+AE47-AE48</f>
        <v>0</v>
      </c>
      <c r="AF49" s="178"/>
      <c r="AI49" s="315"/>
      <c r="AJ49" s="106">
        <v>80000</v>
      </c>
      <c r="AK49" s="87"/>
      <c r="AL49" s="106">
        <v>0</v>
      </c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</row>
    <row r="50" spans="1:59" ht="16.5" thickBot="1">
      <c r="A50" s="190" t="s">
        <v>146</v>
      </c>
      <c r="B50" s="190"/>
      <c r="C50" s="190"/>
      <c r="D50" s="190"/>
      <c r="E50" s="191" t="str">
        <f>IF(E17&gt;0,VLOOKUP(ReddNetto,Aliquote,3),Vuota1)</f>
        <v>        </v>
      </c>
      <c r="F50" s="191"/>
      <c r="G50" s="152"/>
      <c r="H50" s="152"/>
      <c r="I50" s="152"/>
      <c r="J50" s="152"/>
      <c r="K50" s="323" t="s">
        <v>131</v>
      </c>
      <c r="L50" s="323"/>
      <c r="M50" s="323"/>
      <c r="N50" s="323"/>
      <c r="O50" s="324">
        <f>+O49</f>
        <v>0</v>
      </c>
      <c r="P50" s="325"/>
      <c r="Q50" s="72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73"/>
      <c r="AI50" s="315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</row>
    <row r="51" spans="17:59" ht="12.75">
      <c r="Q51" s="57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62"/>
      <c r="AI51" s="315"/>
      <c r="AJ51" s="137">
        <v>0</v>
      </c>
      <c r="AK51" s="138"/>
      <c r="AL51" s="115">
        <v>0</v>
      </c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</row>
    <row r="52" spans="17:59" ht="13.5">
      <c r="Q52" s="168" t="s">
        <v>21</v>
      </c>
      <c r="R52" s="169"/>
      <c r="S52" s="169"/>
      <c r="T52" s="153"/>
      <c r="U52" s="163" t="s">
        <v>22</v>
      </c>
      <c r="V52" s="154"/>
      <c r="W52" s="164"/>
      <c r="X52" s="163" t="s">
        <v>23</v>
      </c>
      <c r="Y52" s="154"/>
      <c r="Z52" s="164"/>
      <c r="AA52" s="163" t="s">
        <v>24</v>
      </c>
      <c r="AB52" s="164"/>
      <c r="AC52" s="52" t="s">
        <v>25</v>
      </c>
      <c r="AD52" s="163" t="s">
        <v>26</v>
      </c>
      <c r="AE52" s="164"/>
      <c r="AF52" s="62"/>
      <c r="AI52" s="315"/>
      <c r="AJ52" s="139">
        <v>29000.01</v>
      </c>
      <c r="AK52" s="140"/>
      <c r="AL52" s="116">
        <v>10</v>
      </c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</row>
    <row r="53" spans="17:59" ht="12.75">
      <c r="Q53" s="163" t="s">
        <v>27</v>
      </c>
      <c r="R53" s="154"/>
      <c r="S53" s="154"/>
      <c r="T53" s="164"/>
      <c r="U53" s="53"/>
      <c r="V53" s="2">
        <v>1.4</v>
      </c>
      <c r="W53" s="53"/>
      <c r="X53" s="175">
        <f>+ReddNetto</f>
        <v>0</v>
      </c>
      <c r="Y53" s="219"/>
      <c r="Z53" s="176"/>
      <c r="AA53" s="175">
        <f>ROUND(X53*V53%,2)</f>
        <v>0</v>
      </c>
      <c r="AB53" s="176"/>
      <c r="AC53" s="2">
        <v>10</v>
      </c>
      <c r="AD53" s="175">
        <f>ROUND(AA53/AC53,2)</f>
        <v>0</v>
      </c>
      <c r="AE53" s="176"/>
      <c r="AF53" s="62"/>
      <c r="AI53" s="315"/>
      <c r="AJ53" s="139">
        <v>29200.01</v>
      </c>
      <c r="AK53" s="140"/>
      <c r="AL53" s="116">
        <v>20</v>
      </c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</row>
    <row r="54" spans="17:59" ht="12.75">
      <c r="Q54" s="163" t="s">
        <v>28</v>
      </c>
      <c r="R54" s="154"/>
      <c r="S54" s="154"/>
      <c r="T54" s="164"/>
      <c r="U54" s="53"/>
      <c r="V54" s="2">
        <v>0.4</v>
      </c>
      <c r="W54" s="53"/>
      <c r="X54" s="175">
        <f>+ReddNetto</f>
        <v>0</v>
      </c>
      <c r="Y54" s="219"/>
      <c r="Z54" s="176"/>
      <c r="AA54" s="175">
        <f>ROUND(X54*V54%,2)</f>
        <v>0</v>
      </c>
      <c r="AB54" s="176"/>
      <c r="AC54" s="52" t="s">
        <v>25</v>
      </c>
      <c r="AD54" s="163" t="s">
        <v>26</v>
      </c>
      <c r="AE54" s="164"/>
      <c r="AF54" s="62"/>
      <c r="AI54" s="315"/>
      <c r="AJ54" s="139">
        <v>34700.01</v>
      </c>
      <c r="AK54" s="140"/>
      <c r="AL54" s="116">
        <v>30</v>
      </c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</row>
    <row r="55" spans="17:59" ht="12.75">
      <c r="Q55" s="282" t="s">
        <v>87</v>
      </c>
      <c r="R55" s="282"/>
      <c r="S55" s="84">
        <v>16</v>
      </c>
      <c r="T55" s="282" t="s">
        <v>88</v>
      </c>
      <c r="U55" s="282"/>
      <c r="V55" s="282"/>
      <c r="W55" s="282"/>
      <c r="X55" s="283" t="s">
        <v>89</v>
      </c>
      <c r="Y55" s="283"/>
      <c r="Z55" s="50" t="s">
        <v>79</v>
      </c>
      <c r="AA55" s="51"/>
      <c r="AB55" s="39">
        <f>ROUND(AA54*30%,2)</f>
        <v>0</v>
      </c>
      <c r="AC55" s="2">
        <v>10</v>
      </c>
      <c r="AD55" s="175">
        <f>ROUND(AB55/AC55,2)</f>
        <v>0</v>
      </c>
      <c r="AE55" s="176"/>
      <c r="AF55" s="62"/>
      <c r="AI55" s="315"/>
      <c r="AJ55" s="139">
        <v>35000.01</v>
      </c>
      <c r="AK55" s="140"/>
      <c r="AL55" s="116">
        <v>20</v>
      </c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</row>
    <row r="56" spans="17:59" ht="12.75">
      <c r="Q56" s="57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62"/>
      <c r="AI56" s="315"/>
      <c r="AJ56" s="139">
        <v>35100.01</v>
      </c>
      <c r="AK56" s="140"/>
      <c r="AL56" s="116">
        <v>10</v>
      </c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</row>
    <row r="57" spans="17:59" ht="12.75" customHeight="1" thickBot="1">
      <c r="Q57" s="57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62"/>
      <c r="AI57" s="315"/>
      <c r="AJ57" s="141">
        <v>35200.01</v>
      </c>
      <c r="AK57" s="142"/>
      <c r="AL57" s="117">
        <v>0</v>
      </c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</row>
    <row r="58" spans="17:59" ht="12.75">
      <c r="Q58" s="74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</row>
    <row r="59" spans="35:39" ht="12.75">
      <c r="AI59" t="s">
        <v>46</v>
      </c>
      <c r="AJ59" s="19" t="s">
        <v>47</v>
      </c>
      <c r="AK59" s="171" t="s">
        <v>52</v>
      </c>
      <c r="AL59" s="18" t="s">
        <v>48</v>
      </c>
      <c r="AM59" s="18" t="s">
        <v>53</v>
      </c>
    </row>
    <row r="60" spans="36:39" ht="12.75">
      <c r="AJ60" s="86">
        <v>95000</v>
      </c>
      <c r="AK60" s="171"/>
      <c r="AL60" s="106">
        <v>15000</v>
      </c>
      <c r="AM60" s="106">
        <f>IF(AK61&gt;1,ROUND((AK61-1)*AL60,2)+AJ60,AJ60)</f>
        <v>95000</v>
      </c>
    </row>
    <row r="61" spans="36:41" ht="12.75">
      <c r="AJ61" s="18" t="s">
        <v>55</v>
      </c>
      <c r="AK61" s="87">
        <f>+N_Fgl</f>
        <v>0</v>
      </c>
      <c r="AL61" s="18" t="s">
        <v>54</v>
      </c>
      <c r="AM61" s="18" t="s">
        <v>45</v>
      </c>
      <c r="AN61" s="18"/>
      <c r="AO61" s="18" t="s">
        <v>41</v>
      </c>
    </row>
    <row r="62" spans="35:44" ht="12.75">
      <c r="AI62" t="s">
        <v>51</v>
      </c>
      <c r="AJ62" s="106">
        <f>IF(Som_fg&gt;3,1000,800)</f>
        <v>800</v>
      </c>
      <c r="AL62" s="106">
        <f>ROUND(fgl*VLOOKUP($AO$62,IndRapp,2),2)</f>
        <v>0</v>
      </c>
      <c r="AM62" s="112">
        <v>0</v>
      </c>
      <c r="AN62" s="77">
        <v>0</v>
      </c>
      <c r="AO62" s="83">
        <f>ROUND((ImFisFin-Redd_Detraz)/ImFisFin,6)</f>
        <v>1</v>
      </c>
      <c r="AQ62" s="87">
        <f>+dsfig</f>
        <v>0</v>
      </c>
      <c r="AR62" s="87">
        <f>+AQ62</f>
        <v>0</v>
      </c>
    </row>
    <row r="63" spans="35:44" ht="12.75">
      <c r="AI63" t="s">
        <v>49</v>
      </c>
      <c r="AJ63" s="106">
        <f>IF(Som_fg&gt;3,1100,900)</f>
        <v>900</v>
      </c>
      <c r="AL63" s="106">
        <f>ROUND(AJ63*VLOOKUP($AO$62,IndRapp,2),2)</f>
        <v>0</v>
      </c>
      <c r="AM63" s="113">
        <v>0.0001</v>
      </c>
      <c r="AN63" s="77">
        <f>+AO62</f>
        <v>1</v>
      </c>
      <c r="AQ63" s="87">
        <f>+dsfg3</f>
        <v>0</v>
      </c>
      <c r="AR63" s="87">
        <f>+AQ63</f>
        <v>0</v>
      </c>
    </row>
    <row r="64" spans="35:44" ht="12.75">
      <c r="AI64" t="s">
        <v>50</v>
      </c>
      <c r="AJ64" s="106">
        <v>220</v>
      </c>
      <c r="AL64" s="106">
        <f>ROUND(fglh*VLOOKUP($AO$62,IndRapp,2),2)</f>
        <v>0</v>
      </c>
      <c r="AM64" s="110">
        <v>1</v>
      </c>
      <c r="AN64" s="77">
        <v>0</v>
      </c>
      <c r="AQ64" s="87">
        <f>+dsfhc</f>
        <v>0</v>
      </c>
      <c r="AR64" s="87">
        <f>+AQ64</f>
        <v>0</v>
      </c>
    </row>
    <row r="65" spans="38:40" ht="12.75">
      <c r="AL65" s="85"/>
      <c r="AM65" s="110">
        <v>10</v>
      </c>
      <c r="AN65" s="77">
        <f>+AO62</f>
        <v>1</v>
      </c>
    </row>
    <row r="66" spans="35:38" ht="12.75">
      <c r="AI66" t="s">
        <v>57</v>
      </c>
      <c r="AJ66" s="87">
        <v>750</v>
      </c>
      <c r="AL66" s="106">
        <f>ROUND(Altri*VLOOKUP(AO67,Rapp_Altri,2),4)</f>
        <v>0</v>
      </c>
    </row>
    <row r="67" ht="12.75">
      <c r="AO67" s="83">
        <f>TRUNC((80000-Redd_Detraz)/80000,6)</f>
        <v>1</v>
      </c>
    </row>
    <row r="68" spans="35:41" ht="12.75">
      <c r="AI68" t="s">
        <v>72</v>
      </c>
      <c r="AL68" t="s">
        <v>41</v>
      </c>
      <c r="AN68" s="131">
        <v>0</v>
      </c>
      <c r="AO68" s="87">
        <v>0</v>
      </c>
    </row>
    <row r="69" spans="35:41" ht="12.75">
      <c r="AI69" s="106">
        <v>1</v>
      </c>
      <c r="AJ69" s="106">
        <v>1840</v>
      </c>
      <c r="AL69" s="83">
        <f>IF(ROUND((15000-Redd_Detraz)/7000,6)&gt;0,ROUND((15000-Redd_Detraz)/7000,6),0)</f>
        <v>2.142857</v>
      </c>
      <c r="AN69" s="132">
        <v>0.0001</v>
      </c>
      <c r="AO69" s="133">
        <f>+AO67</f>
        <v>1</v>
      </c>
    </row>
    <row r="70" spans="35:41" ht="12.75">
      <c r="AI70" s="106">
        <v>8000.01</v>
      </c>
      <c r="AJ70" s="106">
        <f>1338+ROUND(502*AL69,2)</f>
        <v>2413.71</v>
      </c>
      <c r="AL70">
        <f>ROUND((55000-Redd_Detraz)/40000,6)</f>
        <v>1.375</v>
      </c>
      <c r="AN70" s="107">
        <v>1</v>
      </c>
      <c r="AO70" s="87">
        <v>0</v>
      </c>
    </row>
    <row r="71" spans="35:41" ht="12.75">
      <c r="AI71" s="106">
        <v>15000.01</v>
      </c>
      <c r="AJ71" s="106">
        <f>ROUND(1338*AL70,2)</f>
        <v>1839.75</v>
      </c>
      <c r="AN71" s="107">
        <v>10</v>
      </c>
      <c r="AO71" s="133">
        <f>+AO67</f>
        <v>1</v>
      </c>
    </row>
    <row r="72" spans="35:41" ht="12.75">
      <c r="AI72" s="106">
        <v>55000.01</v>
      </c>
      <c r="AJ72" s="106">
        <v>0</v>
      </c>
      <c r="AN72" s="12"/>
      <c r="AO72" s="83"/>
    </row>
    <row r="73" spans="35:36" ht="12.75">
      <c r="AI73" s="106">
        <v>100000000</v>
      </c>
      <c r="AJ73" s="106">
        <v>0</v>
      </c>
    </row>
    <row r="75" spans="35:36" ht="12.75">
      <c r="AI75" s="108">
        <v>0</v>
      </c>
      <c r="AJ75" s="87">
        <v>0</v>
      </c>
    </row>
    <row r="76" spans="35:36" ht="12.75">
      <c r="AI76" s="108">
        <v>23000.01</v>
      </c>
      <c r="AJ76" s="87">
        <v>10</v>
      </c>
    </row>
    <row r="77" spans="35:36" ht="12.75">
      <c r="AI77" s="108">
        <v>24000.01</v>
      </c>
      <c r="AJ77" s="87">
        <v>20</v>
      </c>
    </row>
    <row r="78" spans="35:36" ht="12.75">
      <c r="AI78" s="108">
        <v>25000.01</v>
      </c>
      <c r="AJ78" s="87">
        <v>30</v>
      </c>
    </row>
    <row r="79" spans="35:36" ht="12.75">
      <c r="AI79" s="108">
        <v>26000.01</v>
      </c>
      <c r="AJ79" s="87">
        <v>40</v>
      </c>
    </row>
    <row r="80" spans="35:36" ht="12.75">
      <c r="AI80" s="108">
        <v>27700.01</v>
      </c>
      <c r="AJ80" s="87">
        <v>25</v>
      </c>
    </row>
    <row r="81" spans="1:36" ht="12.75">
      <c r="A81" s="4"/>
      <c r="AI81" s="108">
        <v>28000.01</v>
      </c>
      <c r="AJ81" s="87">
        <v>0</v>
      </c>
    </row>
    <row r="111" ht="12.75">
      <c r="A111" s="4" t="s">
        <v>100</v>
      </c>
    </row>
    <row r="124" ht="12.75">
      <c r="A124" s="90"/>
    </row>
  </sheetData>
  <sheetProtection password="BE24" sheet="1" objects="1" scenarios="1" selectLockedCells="1"/>
  <mergeCells count="164">
    <mergeCell ref="A48:N48"/>
    <mergeCell ref="A49:N49"/>
    <mergeCell ref="A50:D50"/>
    <mergeCell ref="E50:F50"/>
    <mergeCell ref="K50:N50"/>
    <mergeCell ref="A47:N47"/>
    <mergeCell ref="Q16:T16"/>
    <mergeCell ref="U16:W16"/>
    <mergeCell ref="H17:K17"/>
    <mergeCell ref="H16:K16"/>
    <mergeCell ref="A16:D16"/>
    <mergeCell ref="E16:G16"/>
    <mergeCell ref="H18:K18"/>
    <mergeCell ref="A17:D17"/>
    <mergeCell ref="Q37:AB37"/>
    <mergeCell ref="AD5:AF5"/>
    <mergeCell ref="AU30:AW38"/>
    <mergeCell ref="A15:D15"/>
    <mergeCell ref="A14:D14"/>
    <mergeCell ref="U14:W14"/>
    <mergeCell ref="E17:G17"/>
    <mergeCell ref="A20:P20"/>
    <mergeCell ref="X16:AA16"/>
    <mergeCell ref="A21:C21"/>
    <mergeCell ref="AC16:AD16"/>
    <mergeCell ref="Z4:AA4"/>
    <mergeCell ref="V6:Z6"/>
    <mergeCell ref="AB6:AC6"/>
    <mergeCell ref="T6:U6"/>
    <mergeCell ref="X15:AA15"/>
    <mergeCell ref="U9:W9"/>
    <mergeCell ref="X7:AB7"/>
    <mergeCell ref="X9:AA9"/>
    <mergeCell ref="X10:AA10"/>
    <mergeCell ref="U8:W8"/>
    <mergeCell ref="X8:AA8"/>
    <mergeCell ref="AU1:AW2"/>
    <mergeCell ref="AU21:AW25"/>
    <mergeCell ref="AU4:AW4"/>
    <mergeCell ref="AU5:AW5"/>
    <mergeCell ref="AU3:AW3"/>
    <mergeCell ref="T55:W55"/>
    <mergeCell ref="X55:Y55"/>
    <mergeCell ref="X14:AA14"/>
    <mergeCell ref="U13:W13"/>
    <mergeCell ref="X13:AA13"/>
    <mergeCell ref="X17:AA17"/>
    <mergeCell ref="X54:Z54"/>
    <mergeCell ref="U17:W17"/>
    <mergeCell ref="Q41:AB41"/>
    <mergeCell ref="Q38:AB38"/>
    <mergeCell ref="Q33:S33"/>
    <mergeCell ref="Q21:S21"/>
    <mergeCell ref="Q43:V43"/>
    <mergeCell ref="Q39:AB39"/>
    <mergeCell ref="Q36:AF36"/>
    <mergeCell ref="AF25:AF27"/>
    <mergeCell ref="R24:T24"/>
    <mergeCell ref="U24:W24"/>
    <mergeCell ref="X24:Z24"/>
    <mergeCell ref="Q35:AF35"/>
    <mergeCell ref="AC25:AE27"/>
    <mergeCell ref="AA33:AE34"/>
    <mergeCell ref="AD52:AE52"/>
    <mergeCell ref="AE48:AF48"/>
    <mergeCell ref="AE46:AF46"/>
    <mergeCell ref="Y43:AB43"/>
    <mergeCell ref="AA44:AD44"/>
    <mergeCell ref="X52:Z52"/>
    <mergeCell ref="AD55:AE55"/>
    <mergeCell ref="AD54:AE54"/>
    <mergeCell ref="Q42:AF42"/>
    <mergeCell ref="Q52:T52"/>
    <mergeCell ref="AA53:AB53"/>
    <mergeCell ref="X53:Z53"/>
    <mergeCell ref="U52:W52"/>
    <mergeCell ref="Q53:T53"/>
    <mergeCell ref="Q54:T54"/>
    <mergeCell ref="Q55:R55"/>
    <mergeCell ref="Q3:AF3"/>
    <mergeCell ref="T5:Y5"/>
    <mergeCell ref="Z5:AB5"/>
    <mergeCell ref="AK59:AK60"/>
    <mergeCell ref="Q40:AF40"/>
    <mergeCell ref="AA54:AB54"/>
    <mergeCell ref="AE49:AF49"/>
    <mergeCell ref="AE47:AF47"/>
    <mergeCell ref="AA52:AB52"/>
    <mergeCell ref="AD53:AE53"/>
    <mergeCell ref="AH36:AH37"/>
    <mergeCell ref="AH40:AH41"/>
    <mergeCell ref="AI1:AL1"/>
    <mergeCell ref="AI12:AM12"/>
    <mergeCell ref="AI19:AI57"/>
    <mergeCell ref="AJ19:AJ37"/>
    <mergeCell ref="AJ39:AJ42"/>
    <mergeCell ref="Q1:AF1"/>
    <mergeCell ref="Q2:AF2"/>
    <mergeCell ref="AF33:AF34"/>
    <mergeCell ref="U15:W15"/>
    <mergeCell ref="Q7:W7"/>
    <mergeCell ref="Q6:S6"/>
    <mergeCell ref="Q20:AF20"/>
    <mergeCell ref="U10:W10"/>
    <mergeCell ref="U11:W11"/>
    <mergeCell ref="U12:W12"/>
    <mergeCell ref="N5:P5"/>
    <mergeCell ref="A1:P1"/>
    <mergeCell ref="A2:P2"/>
    <mergeCell ref="A3:P3"/>
    <mergeCell ref="J4:K4"/>
    <mergeCell ref="B4:G4"/>
    <mergeCell ref="E8:G8"/>
    <mergeCell ref="H8:K8"/>
    <mergeCell ref="D5:I5"/>
    <mergeCell ref="J5:L5"/>
    <mergeCell ref="C6:G6"/>
    <mergeCell ref="A7:G7"/>
    <mergeCell ref="H7:L7"/>
    <mergeCell ref="A6:B6"/>
    <mergeCell ref="I6:K6"/>
    <mergeCell ref="E13:G13"/>
    <mergeCell ref="E14:G14"/>
    <mergeCell ref="E15:G15"/>
    <mergeCell ref="H15:K15"/>
    <mergeCell ref="H14:K14"/>
    <mergeCell ref="H13:K13"/>
    <mergeCell ref="A33:C33"/>
    <mergeCell ref="K33:O34"/>
    <mergeCell ref="P33:P34"/>
    <mergeCell ref="M28:P29"/>
    <mergeCell ref="M25:O27"/>
    <mergeCell ref="B24:D24"/>
    <mergeCell ref="E24:G24"/>
    <mergeCell ref="P25:P27"/>
    <mergeCell ref="A43:F43"/>
    <mergeCell ref="I43:L43"/>
    <mergeCell ref="K44:N44"/>
    <mergeCell ref="O46:P46"/>
    <mergeCell ref="A46:N46"/>
    <mergeCell ref="M6:P6"/>
    <mergeCell ref="O47:P47"/>
    <mergeCell ref="A39:L39"/>
    <mergeCell ref="A40:P40"/>
    <mergeCell ref="A41:L41"/>
    <mergeCell ref="A42:P42"/>
    <mergeCell ref="A35:P35"/>
    <mergeCell ref="A36:P36"/>
    <mergeCell ref="E11:G11"/>
    <mergeCell ref="E12:G12"/>
    <mergeCell ref="E9:G9"/>
    <mergeCell ref="H9:K9"/>
    <mergeCell ref="E10:G10"/>
    <mergeCell ref="H10:K10"/>
    <mergeCell ref="O50:P50"/>
    <mergeCell ref="X12:AA12"/>
    <mergeCell ref="H11:K11"/>
    <mergeCell ref="X11:AA11"/>
    <mergeCell ref="O48:P48"/>
    <mergeCell ref="O49:P49"/>
    <mergeCell ref="A37:L37"/>
    <mergeCell ref="A38:L38"/>
    <mergeCell ref="H24:J24"/>
    <mergeCell ref="H12:K12"/>
  </mergeCells>
  <conditionalFormatting sqref="Z27">
    <cfRule type="expression" priority="1" dxfId="0" stopIfTrue="1">
      <formula>$T$23&gt;2</formula>
    </cfRule>
  </conditionalFormatting>
  <conditionalFormatting sqref="Z28">
    <cfRule type="expression" priority="2" dxfId="0" stopIfTrue="1">
      <formula>$T$23&gt;3</formula>
    </cfRule>
  </conditionalFormatting>
  <conditionalFormatting sqref="Z29">
    <cfRule type="expression" priority="3" dxfId="0" stopIfTrue="1">
      <formula>$T$23&gt;4</formula>
    </cfRule>
  </conditionalFormatting>
  <conditionalFormatting sqref="Z30">
    <cfRule type="expression" priority="4" dxfId="0" stopIfTrue="1">
      <formula>$T$23&gt;5</formula>
    </cfRule>
  </conditionalFormatting>
  <conditionalFormatting sqref="Z31">
    <cfRule type="expression" priority="5" dxfId="0" stopIfTrue="1">
      <formula>$T$23&gt;6</formula>
    </cfRule>
  </conditionalFormatting>
  <conditionalFormatting sqref="AB25">
    <cfRule type="expression" priority="6" dxfId="1" stopIfTrue="1">
      <formula>$T$23&gt;0</formula>
    </cfRule>
  </conditionalFormatting>
  <conditionalFormatting sqref="AB26">
    <cfRule type="expression" priority="7" dxfId="1" stopIfTrue="1">
      <formula>$T$23&gt;1</formula>
    </cfRule>
  </conditionalFormatting>
  <conditionalFormatting sqref="AB27">
    <cfRule type="expression" priority="8" dxfId="1" stopIfTrue="1">
      <formula>$T$23&gt;2</formula>
    </cfRule>
  </conditionalFormatting>
  <conditionalFormatting sqref="AB28">
    <cfRule type="expression" priority="9" dxfId="1" stopIfTrue="1">
      <formula>$T$23&gt;3</formula>
    </cfRule>
  </conditionalFormatting>
  <conditionalFormatting sqref="AB29">
    <cfRule type="expression" priority="10" dxfId="1" stopIfTrue="1">
      <formula>$T$23&gt;4</formula>
    </cfRule>
  </conditionalFormatting>
  <conditionalFormatting sqref="AB30">
    <cfRule type="expression" priority="11" dxfId="1" stopIfTrue="1">
      <formula>$T$23&gt;5</formula>
    </cfRule>
  </conditionalFormatting>
  <conditionalFormatting sqref="AB31">
    <cfRule type="expression" priority="12" dxfId="1" stopIfTrue="1">
      <formula>$T$23&gt;6</formula>
    </cfRule>
  </conditionalFormatting>
  <conditionalFormatting sqref="Q26">
    <cfRule type="expression" priority="13" dxfId="2" stopIfTrue="1">
      <formula>$T$23&gt;1</formula>
    </cfRule>
  </conditionalFormatting>
  <conditionalFormatting sqref="Q25 T25 W25 Z25 G25 D25">
    <cfRule type="expression" priority="14" dxfId="2" stopIfTrue="1">
      <formula>$T$23&gt;0</formula>
    </cfRule>
  </conditionalFormatting>
  <conditionalFormatting sqref="R25 J25:K25">
    <cfRule type="expression" priority="15" dxfId="3" stopIfTrue="1">
      <formula>$T$23&gt;0</formula>
    </cfRule>
  </conditionalFormatting>
  <conditionalFormatting sqref="U25 X25 E25 H25">
    <cfRule type="expression" priority="16" dxfId="4" stopIfTrue="1">
      <formula>$T$23&gt;0</formula>
    </cfRule>
  </conditionalFormatting>
  <conditionalFormatting sqref="Y21">
    <cfRule type="expression" priority="17" dxfId="5" stopIfTrue="1">
      <formula>$T$21="si"</formula>
    </cfRule>
  </conditionalFormatting>
  <conditionalFormatting sqref="AD23 AA25 C25 F25 I25 V25:V31 S25:S31 Y25:Y31">
    <cfRule type="expression" priority="18" dxfId="5" stopIfTrue="1">
      <formula>$T$23&gt;0</formula>
    </cfRule>
  </conditionalFormatting>
  <conditionalFormatting sqref="AF23">
    <cfRule type="expression" priority="19" dxfId="5" stopIfTrue="1">
      <formula>$AD$23&gt;0</formula>
    </cfRule>
  </conditionalFormatting>
  <conditionalFormatting sqref="F26 C26 I26 AA26">
    <cfRule type="expression" priority="20" dxfId="5" stopIfTrue="1">
      <formula>$T$23&gt;1</formula>
    </cfRule>
  </conditionalFormatting>
  <conditionalFormatting sqref="F27 C27 I27 AA27">
    <cfRule type="expression" priority="21" dxfId="5" stopIfTrue="1">
      <formula>$T$23&gt;2</formula>
    </cfRule>
  </conditionalFormatting>
  <conditionalFormatting sqref="F28 C28 I28 AA28">
    <cfRule type="expression" priority="22" dxfId="5" stopIfTrue="1">
      <formula>$T$23&gt;3</formula>
    </cfRule>
  </conditionalFormatting>
  <conditionalFormatting sqref="F29 C29 I29 AA29">
    <cfRule type="expression" priority="23" dxfId="5" stopIfTrue="1">
      <formula>$T$23&gt;4</formula>
    </cfRule>
  </conditionalFormatting>
  <conditionalFormatting sqref="AA30">
    <cfRule type="expression" priority="24" dxfId="5" stopIfTrue="1">
      <formula>$T$23&gt;5</formula>
    </cfRule>
  </conditionalFormatting>
  <conditionalFormatting sqref="AA31">
    <cfRule type="expression" priority="25" dxfId="5" stopIfTrue="1">
      <formula>$T$23&gt;6</formula>
    </cfRule>
  </conditionalFormatting>
  <conditionalFormatting sqref="Y34">
    <cfRule type="expression" priority="26" dxfId="5" stopIfTrue="1">
      <formula>$T$33="si"</formula>
    </cfRule>
  </conditionalFormatting>
  <conditionalFormatting sqref="Y33 AF33:AF34 P33:P34">
    <cfRule type="expression" priority="27" dxfId="5" stopIfTrue="1">
      <formula>$T$33&gt;0</formula>
    </cfRule>
  </conditionalFormatting>
  <conditionalFormatting sqref="AA33:AE34 K33:O34">
    <cfRule type="expression" priority="28" dxfId="1" stopIfTrue="1">
      <formula>$T$33&gt;0</formula>
    </cfRule>
  </conditionalFormatting>
  <conditionalFormatting sqref="R26 T26:U26 W26:X26 Z26 G26:H26 D26:E26 J26:K26">
    <cfRule type="expression" priority="29" dxfId="3" stopIfTrue="1">
      <formula>$T$23&gt;1</formula>
    </cfRule>
  </conditionalFormatting>
  <conditionalFormatting sqref="R27 T27:U27 W27:X27 G27:H27 D27:E27 J27:K27">
    <cfRule type="expression" priority="30" dxfId="3" stopIfTrue="1">
      <formula>$T$23&gt;2</formula>
    </cfRule>
  </conditionalFormatting>
  <conditionalFormatting sqref="Q27">
    <cfRule type="expression" priority="31" dxfId="2" stopIfTrue="1">
      <formula>$T$23&gt;2</formula>
    </cfRule>
  </conditionalFormatting>
  <conditionalFormatting sqref="Q28">
    <cfRule type="expression" priority="32" dxfId="2" stopIfTrue="1">
      <formula>$T$23&gt;3</formula>
    </cfRule>
  </conditionalFormatting>
  <conditionalFormatting sqref="R28 T28:U28 W28:X28 G28:H28 D28:E28 J28:K28">
    <cfRule type="expression" priority="33" dxfId="3" stopIfTrue="1">
      <formula>$T$23&gt;3</formula>
    </cfRule>
  </conditionalFormatting>
  <conditionalFormatting sqref="Q29">
    <cfRule type="expression" priority="34" dxfId="2" stopIfTrue="1">
      <formula>$T$23&gt;4</formula>
    </cfRule>
  </conditionalFormatting>
  <conditionalFormatting sqref="R29 T29:U29 W29:X29 G29:H29 D29:E29 J29:K29">
    <cfRule type="expression" priority="35" dxfId="3" stopIfTrue="1">
      <formula>$T$23&gt;4</formula>
    </cfRule>
  </conditionalFormatting>
  <conditionalFormatting sqref="Q30">
    <cfRule type="expression" priority="36" dxfId="2" stopIfTrue="1">
      <formula>$T$23&gt;5</formula>
    </cfRule>
  </conditionalFormatting>
  <conditionalFormatting sqref="R30 T30:U30 W30:X30">
    <cfRule type="expression" priority="37" dxfId="3" stopIfTrue="1">
      <formula>$T$23&gt;5</formula>
    </cfRule>
  </conditionalFormatting>
  <conditionalFormatting sqref="Q31">
    <cfRule type="expression" priority="38" dxfId="2" stopIfTrue="1">
      <formula>$T$23&gt;6</formula>
    </cfRule>
  </conditionalFormatting>
  <conditionalFormatting sqref="R31 T31:U31 W31:X31">
    <cfRule type="expression" priority="39" dxfId="3" stopIfTrue="1">
      <formula>$T$23&gt;6</formula>
    </cfRule>
  </conditionalFormatting>
  <conditionalFormatting sqref="L25">
    <cfRule type="expression" priority="40" dxfId="1" stopIfTrue="1">
      <formula>$D$23&gt;0</formula>
    </cfRule>
  </conditionalFormatting>
  <conditionalFormatting sqref="N23">
    <cfRule type="expression" priority="41" dxfId="5" stopIfTrue="1">
      <formula>$D$23&gt;0</formula>
    </cfRule>
  </conditionalFormatting>
  <conditionalFormatting sqref="C30 F30 I30">
    <cfRule type="expression" priority="42" dxfId="5" stopIfTrue="1">
      <formula>$D$23&gt;5</formula>
    </cfRule>
  </conditionalFormatting>
  <conditionalFormatting sqref="C31 F31 I31">
    <cfRule type="expression" priority="43" dxfId="5" stopIfTrue="1">
      <formula>$D$23&gt;6</formula>
    </cfRule>
  </conditionalFormatting>
  <conditionalFormatting sqref="I34">
    <cfRule type="expression" priority="44" dxfId="5" stopIfTrue="1">
      <formula>$D$33="si"</formula>
    </cfRule>
  </conditionalFormatting>
  <conditionalFormatting sqref="A30">
    <cfRule type="expression" priority="45" dxfId="2" stopIfTrue="1">
      <formula>$D$23&gt;5</formula>
    </cfRule>
  </conditionalFormatting>
  <conditionalFormatting sqref="G30:H30 D30:E30 B30 J30:K30">
    <cfRule type="expression" priority="46" dxfId="3" stopIfTrue="1">
      <formula>$D$23&gt;5</formula>
    </cfRule>
  </conditionalFormatting>
  <conditionalFormatting sqref="A31">
    <cfRule type="expression" priority="47" dxfId="2" stopIfTrue="1">
      <formula>$D$23&gt;6</formula>
    </cfRule>
  </conditionalFormatting>
  <conditionalFormatting sqref="G31:H31 D31:E31 B31 J31:K31">
    <cfRule type="expression" priority="48" dxfId="3" stopIfTrue="1">
      <formula>$D$23&gt;6</formula>
    </cfRule>
  </conditionalFormatting>
  <conditionalFormatting sqref="A26">
    <cfRule type="expression" priority="49" dxfId="2" stopIfTrue="1">
      <formula>$D$23&gt;1</formula>
    </cfRule>
  </conditionalFormatting>
  <conditionalFormatting sqref="A25">
    <cfRule type="expression" priority="50" dxfId="2" stopIfTrue="1">
      <formula>$D$23&gt;0</formula>
    </cfRule>
  </conditionalFormatting>
  <conditionalFormatting sqref="B25">
    <cfRule type="expression" priority="51" dxfId="3" stopIfTrue="1">
      <formula>$D$23&gt;0</formula>
    </cfRule>
  </conditionalFormatting>
  <conditionalFormatting sqref="B26">
    <cfRule type="expression" priority="52" dxfId="3" stopIfTrue="1">
      <formula>$D$23&gt;1</formula>
    </cfRule>
  </conditionalFormatting>
  <conditionalFormatting sqref="B27">
    <cfRule type="expression" priority="53" dxfId="3" stopIfTrue="1">
      <formula>$D$23&gt;2</formula>
    </cfRule>
  </conditionalFormatting>
  <conditionalFormatting sqref="A27">
    <cfRule type="expression" priority="54" dxfId="2" stopIfTrue="1">
      <formula>$D$23&gt;2</formula>
    </cfRule>
  </conditionalFormatting>
  <conditionalFormatting sqref="A28">
    <cfRule type="expression" priority="55" dxfId="2" stopIfTrue="1">
      <formula>$D$23&gt;3</formula>
    </cfRule>
  </conditionalFormatting>
  <conditionalFormatting sqref="B28">
    <cfRule type="expression" priority="56" dxfId="3" stopIfTrue="1">
      <formula>$D$23&gt;3</formula>
    </cfRule>
  </conditionalFormatting>
  <conditionalFormatting sqref="A29">
    <cfRule type="expression" priority="57" dxfId="2" stopIfTrue="1">
      <formula>$D$23&gt;4</formula>
    </cfRule>
  </conditionalFormatting>
  <conditionalFormatting sqref="B29">
    <cfRule type="expression" priority="58" dxfId="3" stopIfTrue="1">
      <formula>$D$23&gt;4</formula>
    </cfRule>
  </conditionalFormatting>
  <conditionalFormatting sqref="L27">
    <cfRule type="expression" priority="59" dxfId="1" stopIfTrue="1">
      <formula>$D$23&gt;2</formula>
    </cfRule>
  </conditionalFormatting>
  <conditionalFormatting sqref="L28">
    <cfRule type="expression" priority="60" dxfId="1" stopIfTrue="1">
      <formula>$D$23&gt;3</formula>
    </cfRule>
  </conditionalFormatting>
  <conditionalFormatting sqref="L29">
    <cfRule type="expression" priority="61" dxfId="1" stopIfTrue="1">
      <formula>$D$23&gt;4</formula>
    </cfRule>
  </conditionalFormatting>
  <conditionalFormatting sqref="L30">
    <cfRule type="expression" priority="62" dxfId="1" stopIfTrue="1">
      <formula>$D$23&gt;5</formula>
    </cfRule>
  </conditionalFormatting>
  <conditionalFormatting sqref="L31">
    <cfRule type="expression" priority="63" dxfId="1" stopIfTrue="1">
      <formula>$D$23&gt;6</formula>
    </cfRule>
  </conditionalFormatting>
  <conditionalFormatting sqref="L26">
    <cfRule type="expression" priority="64" dxfId="1" stopIfTrue="1">
      <formula>$D$23&gt;1</formula>
    </cfRule>
  </conditionalFormatting>
  <printOptions/>
  <pageMargins left="0.1968503937007874" right="0" top="0.984251968503937" bottom="0.5905511811023623" header="0.5118110236220472" footer="0.5118110236220472"/>
  <pageSetup blackAndWhite="1" horizontalDpi="360" verticalDpi="360" orientation="portrait" paperSize="9" scale="90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9"/>
  <dimension ref="A1:BG124"/>
  <sheetViews>
    <sheetView workbookViewId="0" topLeftCell="A1">
      <selection activeCell="E8" sqref="E8:G8"/>
    </sheetView>
  </sheetViews>
  <sheetFormatPr defaultColWidth="9.33203125" defaultRowHeight="12.75"/>
  <cols>
    <col min="1" max="1" width="15.5" style="0" customWidth="1"/>
    <col min="2" max="10" width="4.83203125" style="0" customWidth="1"/>
    <col min="11" max="11" width="11.66015625" style="0" bestFit="1" customWidth="1"/>
    <col min="12" max="13" width="11.83203125" style="0" customWidth="1"/>
    <col min="14" max="14" width="4.83203125" style="0" customWidth="1"/>
    <col min="15" max="15" width="12.83203125" style="0" customWidth="1"/>
    <col min="16" max="16" width="9.16015625" style="0" customWidth="1"/>
    <col min="17" max="17" width="15.5" style="0" hidden="1" customWidth="1"/>
    <col min="18" max="26" width="4.83203125" style="0" hidden="1" customWidth="1"/>
    <col min="27" max="27" width="11.66015625" style="0" hidden="1" customWidth="1"/>
    <col min="28" max="29" width="11.83203125" style="0" hidden="1" customWidth="1"/>
    <col min="30" max="30" width="4.83203125" style="0" hidden="1" customWidth="1"/>
    <col min="31" max="31" width="12.83203125" style="0" hidden="1" customWidth="1"/>
    <col min="32" max="32" width="11" style="0" hidden="1" customWidth="1"/>
    <col min="33" max="33" width="5.16015625" style="0" hidden="1" customWidth="1"/>
    <col min="34" max="34" width="10.5" style="0" hidden="1" customWidth="1"/>
    <col min="35" max="35" width="15.16015625" style="0" hidden="1" customWidth="1"/>
    <col min="36" max="36" width="16.83203125" style="0" hidden="1" customWidth="1"/>
    <col min="37" max="37" width="6.66015625" style="0" hidden="1" customWidth="1"/>
    <col min="38" max="38" width="12.83203125" style="0" hidden="1" customWidth="1"/>
    <col min="39" max="39" width="11.5" style="0" hidden="1" customWidth="1"/>
    <col min="40" max="45" width="0" style="0" hidden="1" customWidth="1"/>
    <col min="46" max="46" width="3.66015625" style="0" customWidth="1"/>
    <col min="49" max="49" width="13.66015625" style="0" customWidth="1"/>
  </cols>
  <sheetData>
    <row r="1" spans="1:59" ht="16.5" thickTop="1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3"/>
      <c r="Q1" s="201" t="s">
        <v>0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3"/>
      <c r="AI1" s="185" t="s">
        <v>29</v>
      </c>
      <c r="AJ1" s="185"/>
      <c r="AK1" s="185"/>
      <c r="AL1" s="185"/>
      <c r="AM1" s="135" t="s">
        <v>68</v>
      </c>
      <c r="AT1" s="77"/>
      <c r="AU1" s="247" t="s">
        <v>84</v>
      </c>
      <c r="AV1" s="248"/>
      <c r="AW1" s="249"/>
      <c r="AX1" s="77"/>
      <c r="AY1" s="77"/>
      <c r="AZ1" s="77"/>
      <c r="BA1" s="77"/>
      <c r="BB1" s="77"/>
      <c r="BC1" s="77"/>
      <c r="BD1" s="77"/>
      <c r="BE1" s="77"/>
      <c r="BF1" s="77"/>
      <c r="BG1" s="77"/>
    </row>
    <row r="2" spans="1:59" ht="15.75">
      <c r="A2" s="350" t="str">
        <f>+Gen!A2</f>
        <v>TRIBUNALE DI TERMINI IMERESE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2"/>
      <c r="Q2" s="204" t="s">
        <v>1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6"/>
      <c r="AI2" s="5" t="s">
        <v>30</v>
      </c>
      <c r="AJ2" s="5" t="s">
        <v>31</v>
      </c>
      <c r="AK2" s="6" t="s">
        <v>18</v>
      </c>
      <c r="AL2" s="5" t="s">
        <v>37</v>
      </c>
      <c r="AN2" s="134"/>
      <c r="AT2" s="77"/>
      <c r="AU2" s="250"/>
      <c r="AV2" s="251"/>
      <c r="AW2" s="252"/>
      <c r="AX2" s="77"/>
      <c r="AY2" s="77"/>
      <c r="AZ2" s="77"/>
      <c r="BA2" s="77"/>
      <c r="BB2" s="77"/>
      <c r="BC2" s="77"/>
      <c r="BD2" s="77"/>
      <c r="BE2" s="77"/>
      <c r="BF2" s="77"/>
      <c r="BG2" s="77"/>
    </row>
    <row r="3" spans="1:59" ht="15.75">
      <c r="A3" s="207" t="s">
        <v>110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9"/>
      <c r="Q3" s="207" t="s">
        <v>85</v>
      </c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9"/>
      <c r="AI3" s="7">
        <v>1</v>
      </c>
      <c r="AJ3" s="7">
        <f>+Aliquote!C6</f>
        <v>15000</v>
      </c>
      <c r="AK3" s="8">
        <f>+Aliquote!D6</f>
        <v>0.23</v>
      </c>
      <c r="AL3" s="9"/>
      <c r="AT3" s="77"/>
      <c r="AU3" s="268"/>
      <c r="AV3" s="269"/>
      <c r="AW3" s="270"/>
      <c r="AX3" s="77"/>
      <c r="AY3" s="77"/>
      <c r="AZ3" s="77"/>
      <c r="BA3" s="77"/>
      <c r="BB3" s="77"/>
      <c r="BC3" s="77"/>
      <c r="BD3" s="77"/>
      <c r="BE3" s="77"/>
      <c r="BF3" s="77"/>
      <c r="BG3" s="77"/>
    </row>
    <row r="4" spans="1:59" ht="12.75" customHeight="1">
      <c r="A4" s="150" t="s">
        <v>138</v>
      </c>
      <c r="B4" s="163" t="str">
        <f>IF(Gen!B4&gt;0,Gen!B4,Vuota1)</f>
        <v>        </v>
      </c>
      <c r="C4" s="154"/>
      <c r="D4" s="154"/>
      <c r="E4" s="154"/>
      <c r="F4" s="154"/>
      <c r="G4" s="164"/>
      <c r="H4" s="58"/>
      <c r="I4" s="58"/>
      <c r="J4" s="345" t="s">
        <v>129</v>
      </c>
      <c r="K4" s="346"/>
      <c r="L4" s="149">
        <f>IF(Gen!L4&gt;0,Gen!L4,Vuota1)</f>
        <v>2007</v>
      </c>
      <c r="M4" s="20"/>
      <c r="N4" s="58"/>
      <c r="O4" s="58"/>
      <c r="P4" s="33"/>
      <c r="Q4" s="20"/>
      <c r="R4" s="58"/>
      <c r="S4" s="58"/>
      <c r="T4" s="58"/>
      <c r="U4" s="58"/>
      <c r="V4" s="58"/>
      <c r="W4" s="58"/>
      <c r="X4" s="58"/>
      <c r="Y4" s="58"/>
      <c r="Z4" s="213" t="s">
        <v>2</v>
      </c>
      <c r="AA4" s="213"/>
      <c r="AB4" s="2">
        <v>2007</v>
      </c>
      <c r="AC4" s="20"/>
      <c r="AD4" s="58"/>
      <c r="AE4" s="58"/>
      <c r="AF4" s="33"/>
      <c r="AI4" s="7">
        <f>+AJ3+0.01</f>
        <v>15000.01</v>
      </c>
      <c r="AJ4" s="7">
        <f>+Aliquote!C7</f>
        <v>28000</v>
      </c>
      <c r="AK4" s="8">
        <f>+Aliquote!D7</f>
        <v>0.27</v>
      </c>
      <c r="AL4" s="7">
        <f>ROUND(AI4*AK3,2)</f>
        <v>3450</v>
      </c>
      <c r="AT4" s="77"/>
      <c r="AU4" s="262" t="s">
        <v>81</v>
      </c>
      <c r="AV4" s="263"/>
      <c r="AW4" s="264"/>
      <c r="AX4" s="77"/>
      <c r="AY4" s="77"/>
      <c r="AZ4" s="77"/>
      <c r="BA4" s="77"/>
      <c r="BB4" s="77"/>
      <c r="BC4" s="77"/>
      <c r="BD4" s="77"/>
      <c r="BE4" s="77"/>
      <c r="BF4" s="77"/>
      <c r="BG4" s="77"/>
    </row>
    <row r="5" spans="1:59" ht="16.5" thickBot="1">
      <c r="A5" s="59" t="s">
        <v>3</v>
      </c>
      <c r="B5" s="60"/>
      <c r="C5" s="52" t="str">
        <f>IF(Gen!C5&gt;0,Gen!C5,Vuota1)</f>
        <v>C1</v>
      </c>
      <c r="D5" s="347" t="str">
        <f>IF(Gen!D5&gt;0,Gen!D5,Vuota1)</f>
        <v>        </v>
      </c>
      <c r="E5" s="348" t="e">
        <f>IF(#REF!&gt;0,#REF!,Vuota1)</f>
        <v>#REF!</v>
      </c>
      <c r="F5" s="348" t="e">
        <f>IF(#REF!&gt;0,#REF!,Vuota1)</f>
        <v>#REF!</v>
      </c>
      <c r="G5" s="348" t="e">
        <f>IF(#REF!&gt;0,#REF!,Vuota1)</f>
        <v>#REF!</v>
      </c>
      <c r="H5" s="348" t="e">
        <f>IF(#REF!&gt;0,#REF!,Vuota1)</f>
        <v>#REF!</v>
      </c>
      <c r="I5" s="348" t="e">
        <f>IF(#REF!&gt;0,#REF!,Vuota1)</f>
        <v>#REF!</v>
      </c>
      <c r="J5" s="348" t="str">
        <f>IF(Gen!J5&gt;0,Gen!J5,Vuota1)</f>
        <v>        </v>
      </c>
      <c r="K5" s="348" t="e">
        <f>IF(#REF!&gt;0,#REF!,Vuota1)</f>
        <v>#REF!</v>
      </c>
      <c r="L5" s="349" t="e">
        <f>IF(#REF!&gt;0,#REF!,Vuota1)</f>
        <v>#REF!</v>
      </c>
      <c r="M5" s="61" t="s">
        <v>5</v>
      </c>
      <c r="N5" s="163" t="str">
        <f>IF(Gen!N5&gt;0,Gen!N5,Vuota1)</f>
        <v>        </v>
      </c>
      <c r="O5" s="154" t="e">
        <f>IF(#REF!&gt;0,#REF!,Vuota1)</f>
        <v>#REF!</v>
      </c>
      <c r="P5" s="164" t="e">
        <f>IF(#REF!&gt;0,#REF!,Vuota1)</f>
        <v>#REF!</v>
      </c>
      <c r="Q5" s="59" t="s">
        <v>3</v>
      </c>
      <c r="R5" s="60"/>
      <c r="S5" s="2" t="s">
        <v>4</v>
      </c>
      <c r="T5" s="211"/>
      <c r="U5" s="211"/>
      <c r="V5" s="211"/>
      <c r="W5" s="211"/>
      <c r="X5" s="211"/>
      <c r="Y5" s="211"/>
      <c r="Z5" s="211"/>
      <c r="AA5" s="211"/>
      <c r="AB5" s="313"/>
      <c r="AC5" s="61" t="s">
        <v>5</v>
      </c>
      <c r="AD5" s="214"/>
      <c r="AE5" s="215"/>
      <c r="AF5" s="216"/>
      <c r="AH5" s="21"/>
      <c r="AI5" s="7">
        <f>+AJ4+0.01</f>
        <v>28000.01</v>
      </c>
      <c r="AJ5" s="7">
        <f>+Aliquote!C8</f>
        <v>55000</v>
      </c>
      <c r="AK5" s="8">
        <f>+Aliquote!D8</f>
        <v>0.38</v>
      </c>
      <c r="AL5" s="7">
        <f>ROUND((AI5-AI4)*AK4,2)+AL4</f>
        <v>6960</v>
      </c>
      <c r="AT5" s="77"/>
      <c r="AU5" s="265" t="s">
        <v>82</v>
      </c>
      <c r="AV5" s="266"/>
      <c r="AW5" s="267"/>
      <c r="AX5" s="77"/>
      <c r="AY5" s="77"/>
      <c r="AZ5" s="77"/>
      <c r="BA5" s="77"/>
      <c r="BB5" s="77"/>
      <c r="BC5" s="77"/>
      <c r="BD5" s="77"/>
      <c r="BE5" s="77"/>
      <c r="BF5" s="77"/>
      <c r="BG5" s="77"/>
    </row>
    <row r="6" spans="1:59" ht="12.75" customHeight="1" thickTop="1">
      <c r="A6" s="271" t="s">
        <v>6</v>
      </c>
      <c r="B6" s="272"/>
      <c r="C6" s="163" t="str">
        <f>IF(Gen!C6&gt;0,Gen!C6,Vuota1)</f>
        <v>        </v>
      </c>
      <c r="D6" s="213" t="e">
        <f>IF(#REF!&gt;0,#REF!,Vuota1)</f>
        <v>#REF!</v>
      </c>
      <c r="E6" s="213" t="e">
        <f>IF(#REF!&gt;0,#REF!,Vuota1)</f>
        <v>#REF!</v>
      </c>
      <c r="F6" s="213" t="e">
        <f>IF(#REF!&gt;0,#REF!,Vuota1)</f>
        <v>#REF!</v>
      </c>
      <c r="G6" s="359" t="e">
        <f>IF(#REF!&gt;0,#REF!,Vuota1)</f>
        <v>#REF!</v>
      </c>
      <c r="H6" s="60" t="s">
        <v>7</v>
      </c>
      <c r="I6" s="353" t="str">
        <f>IF(Gen!I6&gt;0,Gen!I6,Vuota1)</f>
        <v>        </v>
      </c>
      <c r="J6" s="354" t="e">
        <f>IF(#REF!&gt;0,#REF!,Vuota1)</f>
        <v>#REF!</v>
      </c>
      <c r="K6" s="355" t="e">
        <f>IF(#REF!&gt;0,#REF!,Vuota1)</f>
        <v>#REF!</v>
      </c>
      <c r="L6" s="48" t="s">
        <v>90</v>
      </c>
      <c r="M6" s="356" t="str">
        <f>IF(Gen!M6&gt;0,Gen!M6,Vuota1)</f>
        <v>        </v>
      </c>
      <c r="N6" s="357" t="e">
        <f>IF(#REF!&gt;0,#REF!,Vuota1)</f>
        <v>#REF!</v>
      </c>
      <c r="O6" s="357" t="e">
        <f>IF(#REF!&gt;0,#REF!,Vuota1)</f>
        <v>#REF!</v>
      </c>
      <c r="P6" s="358" t="e">
        <f>IF(#REF!&gt;0,#REF!,Vuota1)</f>
        <v>#REF!</v>
      </c>
      <c r="Q6" s="317"/>
      <c r="R6" s="318"/>
      <c r="S6" s="318"/>
      <c r="T6" s="302" t="s">
        <v>6</v>
      </c>
      <c r="U6" s="302"/>
      <c r="V6" s="214"/>
      <c r="W6" s="215"/>
      <c r="X6" s="215"/>
      <c r="Y6" s="215"/>
      <c r="Z6" s="216"/>
      <c r="AA6" s="60" t="s">
        <v>7</v>
      </c>
      <c r="AB6" s="300"/>
      <c r="AC6" s="301"/>
      <c r="AD6" s="20"/>
      <c r="AE6" s="20"/>
      <c r="AF6" s="62"/>
      <c r="AH6" s="21"/>
      <c r="AI6" s="7">
        <f>+AJ5+0.01</f>
        <v>55000.01</v>
      </c>
      <c r="AJ6" s="7">
        <f>+Aliquote!C9</f>
        <v>75000</v>
      </c>
      <c r="AK6" s="8">
        <f>+Aliquote!D9</f>
        <v>0.41</v>
      </c>
      <c r="AL6" s="7">
        <f>ROUND((AI6-AI5)*AK5,2)+AL5</f>
        <v>17220</v>
      </c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</row>
    <row r="7" spans="1:59" ht="12.75" customHeight="1">
      <c r="A7" s="239" t="s">
        <v>8</v>
      </c>
      <c r="B7" s="240"/>
      <c r="C7" s="240"/>
      <c r="D7" s="240"/>
      <c r="E7" s="240"/>
      <c r="F7" s="240"/>
      <c r="G7" s="240"/>
      <c r="H7" s="158" t="s">
        <v>9</v>
      </c>
      <c r="I7" s="158"/>
      <c r="J7" s="158"/>
      <c r="K7" s="158"/>
      <c r="L7" s="158"/>
      <c r="M7" s="20"/>
      <c r="N7" s="20"/>
      <c r="O7" s="20"/>
      <c r="P7" s="62"/>
      <c r="Q7" s="239" t="s">
        <v>8</v>
      </c>
      <c r="R7" s="240"/>
      <c r="S7" s="240"/>
      <c r="T7" s="240"/>
      <c r="U7" s="240"/>
      <c r="V7" s="240"/>
      <c r="W7" s="240"/>
      <c r="X7" s="158" t="s">
        <v>9</v>
      </c>
      <c r="Y7" s="158"/>
      <c r="Z7" s="158"/>
      <c r="AA7" s="158"/>
      <c r="AB7" s="158"/>
      <c r="AC7" s="20"/>
      <c r="AD7" s="20"/>
      <c r="AE7" s="20"/>
      <c r="AF7" s="62"/>
      <c r="AH7" s="21"/>
      <c r="AI7" s="7">
        <f>+AJ6+0.01</f>
        <v>75000.01</v>
      </c>
      <c r="AJ7" s="7">
        <v>1000000</v>
      </c>
      <c r="AK7" s="8">
        <f>+Aliquote!D10</f>
        <v>0.43</v>
      </c>
      <c r="AL7" s="7">
        <f>ROUND((AI7-AI6)*AK6,2)+AL6</f>
        <v>25420</v>
      </c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</row>
    <row r="8" spans="1:59" ht="12.75">
      <c r="A8" s="27" t="s">
        <v>78</v>
      </c>
      <c r="B8" s="29"/>
      <c r="C8" s="29"/>
      <c r="D8" s="23"/>
      <c r="E8" s="195"/>
      <c r="F8" s="196"/>
      <c r="G8" s="197"/>
      <c r="H8" s="273" t="s">
        <v>10</v>
      </c>
      <c r="I8" s="274"/>
      <c r="J8" s="274"/>
      <c r="K8" s="275"/>
      <c r="L8" s="1"/>
      <c r="M8" s="20"/>
      <c r="N8" s="20"/>
      <c r="O8" s="20"/>
      <c r="P8" s="62"/>
      <c r="Q8" s="27" t="s">
        <v>78</v>
      </c>
      <c r="R8" s="29"/>
      <c r="S8" s="29"/>
      <c r="T8" s="23"/>
      <c r="U8" s="195">
        <f aca="true" t="shared" si="0" ref="U8:U15">ROUND(E8*13,5)</f>
        <v>0</v>
      </c>
      <c r="V8" s="196"/>
      <c r="W8" s="197"/>
      <c r="X8" s="273" t="s">
        <v>10</v>
      </c>
      <c r="Y8" s="274"/>
      <c r="Z8" s="274"/>
      <c r="AA8" s="275"/>
      <c r="AB8" s="1">
        <f aca="true" t="shared" si="1" ref="AB8:AB17">ROUND(L8*13,5)</f>
        <v>0</v>
      </c>
      <c r="AC8" s="20"/>
      <c r="AD8" s="20"/>
      <c r="AE8" s="20"/>
      <c r="AF8" s="62"/>
      <c r="AH8" s="21"/>
      <c r="AI8" s="7">
        <f>+AJ7+0.01</f>
        <v>1000000.01</v>
      </c>
      <c r="AJ8" s="10">
        <v>2000000</v>
      </c>
      <c r="AK8" s="11">
        <f>+AK7</f>
        <v>0.43</v>
      </c>
      <c r="AL8" s="10">
        <f>ROUND((AI8-AI7)*AK7,2)+AL7</f>
        <v>423170</v>
      </c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</row>
    <row r="9" spans="1:59" ht="12.75">
      <c r="A9" s="27" t="s">
        <v>11</v>
      </c>
      <c r="B9" s="29"/>
      <c r="C9" s="29"/>
      <c r="D9" s="23"/>
      <c r="E9" s="195"/>
      <c r="F9" s="196"/>
      <c r="G9" s="197"/>
      <c r="H9" s="198" t="s">
        <v>111</v>
      </c>
      <c r="I9" s="199"/>
      <c r="J9" s="199"/>
      <c r="K9" s="200"/>
      <c r="L9" s="1"/>
      <c r="M9" s="20"/>
      <c r="N9" s="20"/>
      <c r="O9" s="20"/>
      <c r="P9" s="62"/>
      <c r="Q9" s="27" t="s">
        <v>11</v>
      </c>
      <c r="R9" s="29"/>
      <c r="S9" s="29"/>
      <c r="T9" s="23"/>
      <c r="U9" s="195">
        <f t="shared" si="0"/>
        <v>0</v>
      </c>
      <c r="V9" s="196"/>
      <c r="W9" s="197"/>
      <c r="X9" s="198" t="s">
        <v>111</v>
      </c>
      <c r="Y9" s="199"/>
      <c r="Z9" s="199"/>
      <c r="AA9" s="200"/>
      <c r="AB9" s="1">
        <f t="shared" si="1"/>
        <v>0</v>
      </c>
      <c r="AC9" s="20"/>
      <c r="AD9" s="20"/>
      <c r="AE9" s="25" t="s">
        <v>117</v>
      </c>
      <c r="AF9" s="62"/>
      <c r="AH9" s="22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</row>
    <row r="10" spans="1:59" ht="12.75">
      <c r="A10" s="27" t="s">
        <v>12</v>
      </c>
      <c r="B10" s="29"/>
      <c r="C10" s="29"/>
      <c r="D10" s="23"/>
      <c r="E10" s="195"/>
      <c r="F10" s="196"/>
      <c r="G10" s="197"/>
      <c r="H10" s="198" t="s">
        <v>112</v>
      </c>
      <c r="I10" s="199"/>
      <c r="J10" s="199"/>
      <c r="K10" s="200"/>
      <c r="L10" s="1"/>
      <c r="M10" s="20"/>
      <c r="N10" s="20"/>
      <c r="O10" s="20"/>
      <c r="P10" s="62"/>
      <c r="Q10" s="27" t="s">
        <v>12</v>
      </c>
      <c r="R10" s="29"/>
      <c r="S10" s="29"/>
      <c r="T10" s="23"/>
      <c r="U10" s="195">
        <f t="shared" si="0"/>
        <v>0</v>
      </c>
      <c r="V10" s="196"/>
      <c r="W10" s="197"/>
      <c r="X10" s="198" t="s">
        <v>112</v>
      </c>
      <c r="Y10" s="199"/>
      <c r="Z10" s="199"/>
      <c r="AA10" s="200"/>
      <c r="AB10" s="1">
        <f t="shared" si="1"/>
        <v>0</v>
      </c>
      <c r="AC10" s="20"/>
      <c r="AD10" s="20"/>
      <c r="AE10" s="145">
        <f>+Lordo-U12</f>
        <v>0</v>
      </c>
      <c r="AF10" s="62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</row>
    <row r="11" spans="1:59" ht="12.75">
      <c r="A11" s="27" t="s">
        <v>14</v>
      </c>
      <c r="B11" s="29"/>
      <c r="C11" s="29"/>
      <c r="D11" s="29"/>
      <c r="E11" s="195"/>
      <c r="F11" s="196"/>
      <c r="G11" s="197"/>
      <c r="H11" s="198" t="s">
        <v>113</v>
      </c>
      <c r="I11" s="199"/>
      <c r="J11" s="199"/>
      <c r="K11" s="200"/>
      <c r="L11" s="143">
        <f>ROUND((E10+E11)*(Aliquote!H9),2)</f>
        <v>0</v>
      </c>
      <c r="M11" s="20"/>
      <c r="N11" s="20"/>
      <c r="O11" s="20"/>
      <c r="P11" s="62"/>
      <c r="Q11" s="27" t="s">
        <v>14</v>
      </c>
      <c r="R11" s="29"/>
      <c r="S11" s="29"/>
      <c r="T11" s="29"/>
      <c r="U11" s="195">
        <f t="shared" si="0"/>
        <v>0</v>
      </c>
      <c r="V11" s="196"/>
      <c r="W11" s="197"/>
      <c r="X11" s="198" t="s">
        <v>113</v>
      </c>
      <c r="Y11" s="199"/>
      <c r="Z11" s="199"/>
      <c r="AA11" s="200"/>
      <c r="AB11" s="143">
        <f t="shared" si="1"/>
        <v>0</v>
      </c>
      <c r="AC11" s="20"/>
      <c r="AD11" s="20"/>
      <c r="AE11" s="20"/>
      <c r="AF11" s="62"/>
      <c r="AH11" s="85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</row>
    <row r="12" spans="1:59" ht="12.75">
      <c r="A12" s="27" t="s">
        <v>16</v>
      </c>
      <c r="B12" s="29"/>
      <c r="C12" s="29"/>
      <c r="D12" s="23"/>
      <c r="E12" s="195"/>
      <c r="F12" s="196"/>
      <c r="G12" s="197"/>
      <c r="H12" s="198" t="s">
        <v>114</v>
      </c>
      <c r="I12" s="199"/>
      <c r="J12" s="199"/>
      <c r="K12" s="200"/>
      <c r="L12" s="144">
        <f>ROUND((E10+E11)*(Aliquote!I9),2)</f>
        <v>0</v>
      </c>
      <c r="M12" s="20"/>
      <c r="N12" s="20"/>
      <c r="O12" s="20"/>
      <c r="P12" s="62"/>
      <c r="Q12" s="27" t="s">
        <v>16</v>
      </c>
      <c r="R12" s="29"/>
      <c r="S12" s="29"/>
      <c r="T12" s="23"/>
      <c r="U12" s="195">
        <f t="shared" si="0"/>
        <v>0</v>
      </c>
      <c r="V12" s="196"/>
      <c r="W12" s="197"/>
      <c r="X12" s="198" t="s">
        <v>114</v>
      </c>
      <c r="Y12" s="199"/>
      <c r="Z12" s="199"/>
      <c r="AA12" s="200"/>
      <c r="AB12" s="143">
        <f t="shared" si="1"/>
        <v>0</v>
      </c>
      <c r="AC12" s="91"/>
      <c r="AD12" s="20"/>
      <c r="AE12" s="20"/>
      <c r="AF12" s="62"/>
      <c r="AH12" s="85"/>
      <c r="AI12" s="186" t="s">
        <v>32</v>
      </c>
      <c r="AJ12" s="186"/>
      <c r="AK12" s="186"/>
      <c r="AL12" s="186"/>
      <c r="AM12" s="186"/>
      <c r="AN12" t="s">
        <v>44</v>
      </c>
      <c r="AO12" t="s">
        <v>43</v>
      </c>
      <c r="AT12" s="77"/>
      <c r="AU12" s="78"/>
      <c r="AV12" s="78"/>
      <c r="AW12" s="78"/>
      <c r="AX12" s="77"/>
      <c r="AY12" s="77"/>
      <c r="AZ12" s="77"/>
      <c r="BA12" s="77"/>
      <c r="BB12" s="77"/>
      <c r="BC12" s="77"/>
      <c r="BD12" s="77"/>
      <c r="BE12" s="77"/>
      <c r="BF12" s="77"/>
      <c r="BG12" s="77"/>
    </row>
    <row r="13" spans="1:59" ht="12.75">
      <c r="A13" s="27" t="s">
        <v>17</v>
      </c>
      <c r="B13" s="29"/>
      <c r="C13" s="29"/>
      <c r="D13" s="23"/>
      <c r="E13" s="195"/>
      <c r="F13" s="196"/>
      <c r="G13" s="197"/>
      <c r="H13" s="198" t="s">
        <v>115</v>
      </c>
      <c r="I13" s="199"/>
      <c r="J13" s="199"/>
      <c r="K13" s="200"/>
      <c r="L13" s="143">
        <f>ROUND(E12*80%*(Aliquote!$G$9)+E12*(Aliquote!$H$9+Aliquote!$I$9),5)</f>
        <v>0</v>
      </c>
      <c r="M13" s="20"/>
      <c r="N13" s="20"/>
      <c r="O13" s="20"/>
      <c r="P13" s="62"/>
      <c r="Q13" s="27" t="s">
        <v>17</v>
      </c>
      <c r="R13" s="29"/>
      <c r="S13" s="29"/>
      <c r="T13" s="23"/>
      <c r="U13" s="195">
        <f t="shared" si="0"/>
        <v>0</v>
      </c>
      <c r="V13" s="196"/>
      <c r="W13" s="197"/>
      <c r="X13" s="198" t="s">
        <v>115</v>
      </c>
      <c r="Y13" s="199"/>
      <c r="Z13" s="199"/>
      <c r="AA13" s="200"/>
      <c r="AB13" s="143">
        <f t="shared" si="1"/>
        <v>0</v>
      </c>
      <c r="AC13" s="20"/>
      <c r="AD13" s="20"/>
      <c r="AE13" s="91"/>
      <c r="AF13" s="62"/>
      <c r="AH13" s="85"/>
      <c r="AI13" s="4" t="s">
        <v>33</v>
      </c>
      <c r="AJ13" s="107">
        <v>80000</v>
      </c>
      <c r="AK13" s="4"/>
      <c r="AL13" s="107">
        <v>800</v>
      </c>
      <c r="AM13" s="107">
        <v>690</v>
      </c>
      <c r="AN13" s="87">
        <v>110</v>
      </c>
      <c r="AO13" s="87">
        <f>ROUND(Redd_Detraz/AJ19,4)</f>
        <v>0</v>
      </c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</row>
    <row r="14" spans="1:59" ht="12.75">
      <c r="A14" s="192" t="s">
        <v>108</v>
      </c>
      <c r="B14" s="193"/>
      <c r="C14" s="193"/>
      <c r="D14" s="194"/>
      <c r="E14" s="195"/>
      <c r="F14" s="196"/>
      <c r="G14" s="197"/>
      <c r="H14" s="198" t="s">
        <v>116</v>
      </c>
      <c r="I14" s="199"/>
      <c r="J14" s="199"/>
      <c r="K14" s="200"/>
      <c r="L14" s="143">
        <f>ROUND(E13*80%*(Aliquote!$G$9)+E13*(Aliquote!$H$9+Aliquote!$I$9),5)</f>
        <v>0</v>
      </c>
      <c r="M14" s="20"/>
      <c r="N14" s="20"/>
      <c r="O14" s="20"/>
      <c r="P14" s="62"/>
      <c r="Q14" s="26" t="s">
        <v>13</v>
      </c>
      <c r="R14" s="30"/>
      <c r="S14" s="30"/>
      <c r="T14" s="24"/>
      <c r="U14" s="195">
        <f t="shared" si="0"/>
        <v>0</v>
      </c>
      <c r="V14" s="196"/>
      <c r="W14" s="197"/>
      <c r="X14" s="198" t="s">
        <v>116</v>
      </c>
      <c r="Y14" s="199"/>
      <c r="Z14" s="199"/>
      <c r="AA14" s="200"/>
      <c r="AB14" s="143">
        <f t="shared" si="1"/>
        <v>0</v>
      </c>
      <c r="AC14" s="20"/>
      <c r="AD14" s="20"/>
      <c r="AE14" s="20"/>
      <c r="AF14" s="62"/>
      <c r="AH14" s="85"/>
      <c r="AI14" s="4" t="s">
        <v>34</v>
      </c>
      <c r="AJ14" s="107">
        <v>95000</v>
      </c>
      <c r="AK14" s="4"/>
      <c r="AL14" s="107">
        <v>800</v>
      </c>
      <c r="AO14" s="77">
        <f>ROUND((Coniuge-Redd_Detraz)/AJ38,4)</f>
        <v>2</v>
      </c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</row>
    <row r="15" spans="1:59" ht="12.75">
      <c r="A15" s="192" t="s">
        <v>109</v>
      </c>
      <c r="B15" s="193"/>
      <c r="C15" s="193"/>
      <c r="D15" s="194"/>
      <c r="E15" s="195"/>
      <c r="F15" s="196"/>
      <c r="G15" s="197"/>
      <c r="H15" s="192" t="s">
        <v>149</v>
      </c>
      <c r="I15" s="193"/>
      <c r="J15" s="193"/>
      <c r="K15" s="194"/>
      <c r="L15" s="143">
        <f>ROUND(E14*80%*(Aliquote!$G$9)+E14*(Aliquote!$H$9+Aliquote!$I$9),5)</f>
        <v>0</v>
      </c>
      <c r="M15" s="20"/>
      <c r="N15" s="20"/>
      <c r="O15" s="20"/>
      <c r="P15" s="62"/>
      <c r="Q15" s="26" t="s">
        <v>13</v>
      </c>
      <c r="R15" s="30"/>
      <c r="S15" s="30"/>
      <c r="T15" s="24"/>
      <c r="U15" s="195">
        <f t="shared" si="0"/>
        <v>0</v>
      </c>
      <c r="V15" s="196"/>
      <c r="W15" s="197"/>
      <c r="X15" s="192" t="s">
        <v>13</v>
      </c>
      <c r="Y15" s="193"/>
      <c r="Z15" s="193"/>
      <c r="AA15" s="194"/>
      <c r="AB15" s="143">
        <f t="shared" si="1"/>
        <v>0</v>
      </c>
      <c r="AC15" s="20"/>
      <c r="AD15" s="20"/>
      <c r="AE15" s="25" t="s">
        <v>93</v>
      </c>
      <c r="AF15" s="62"/>
      <c r="AH15" s="85"/>
      <c r="AI15" s="4" t="s">
        <v>35</v>
      </c>
      <c r="AJ15" s="107">
        <v>55000</v>
      </c>
      <c r="AK15" s="4"/>
      <c r="AL15" s="107">
        <v>1338</v>
      </c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</row>
    <row r="16" spans="1:59" ht="12.75">
      <c r="A16" s="192" t="s">
        <v>148</v>
      </c>
      <c r="B16" s="193"/>
      <c r="C16" s="193"/>
      <c r="D16" s="194"/>
      <c r="E16" s="195"/>
      <c r="F16" s="196"/>
      <c r="G16" s="197"/>
      <c r="H16" s="192" t="s">
        <v>150</v>
      </c>
      <c r="I16" s="193"/>
      <c r="J16" s="193"/>
      <c r="K16" s="194"/>
      <c r="L16" s="144">
        <f>ROUND(E15*(Aliquote!$H$9+Aliquote!$I$9),5)</f>
        <v>0</v>
      </c>
      <c r="M16" s="20"/>
      <c r="N16" s="20"/>
      <c r="O16" s="20"/>
      <c r="P16" s="62"/>
      <c r="Q16" s="192" t="s">
        <v>57</v>
      </c>
      <c r="R16" s="193"/>
      <c r="S16" s="193"/>
      <c r="T16" s="194"/>
      <c r="U16" s="195"/>
      <c r="V16" s="196"/>
      <c r="W16" s="197"/>
      <c r="X16" s="192" t="s">
        <v>13</v>
      </c>
      <c r="Y16" s="193"/>
      <c r="Z16" s="193"/>
      <c r="AA16" s="194"/>
      <c r="AB16" s="143">
        <f t="shared" si="1"/>
        <v>0</v>
      </c>
      <c r="AC16" s="298"/>
      <c r="AD16" s="299"/>
      <c r="AE16" s="146">
        <f>IF(O46&gt;E12,ROUND((O46-E12)*12,2),0)</f>
        <v>0</v>
      </c>
      <c r="AF16" s="62"/>
      <c r="AH16" s="85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</row>
    <row r="17" spans="1:59" ht="12.75">
      <c r="A17" s="163" t="s">
        <v>15</v>
      </c>
      <c r="B17" s="154"/>
      <c r="C17" s="154"/>
      <c r="D17" s="164"/>
      <c r="E17" s="175">
        <f>SUM(E8:G16)</f>
        <v>0</v>
      </c>
      <c r="F17" s="219"/>
      <c r="G17" s="176"/>
      <c r="H17" s="192" t="s">
        <v>148</v>
      </c>
      <c r="I17" s="193"/>
      <c r="J17" s="193"/>
      <c r="K17" s="194"/>
      <c r="L17" s="189"/>
      <c r="M17" s="20"/>
      <c r="N17" s="20"/>
      <c r="O17" s="20"/>
      <c r="P17" s="62"/>
      <c r="Q17" s="31" t="s">
        <v>15</v>
      </c>
      <c r="R17" s="28"/>
      <c r="S17" s="28"/>
      <c r="T17" s="32"/>
      <c r="U17" s="175">
        <f>SUM(U8:W16)</f>
        <v>0</v>
      </c>
      <c r="V17" s="219"/>
      <c r="W17" s="176"/>
      <c r="X17" s="192" t="s">
        <v>57</v>
      </c>
      <c r="Y17" s="193"/>
      <c r="Z17" s="193"/>
      <c r="AA17" s="194"/>
      <c r="AB17" s="143">
        <f t="shared" si="1"/>
        <v>0</v>
      </c>
      <c r="AC17" s="160"/>
      <c r="AD17" s="160"/>
      <c r="AE17" s="147"/>
      <c r="AF17" s="62"/>
      <c r="AH17" s="85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</row>
    <row r="18" spans="1:59" ht="13.5" thickBot="1">
      <c r="A18" s="57"/>
      <c r="B18" s="20"/>
      <c r="C18" s="20"/>
      <c r="D18" s="20"/>
      <c r="E18" s="20"/>
      <c r="F18" s="20"/>
      <c r="G18" s="20"/>
      <c r="H18" s="163" t="s">
        <v>15</v>
      </c>
      <c r="I18" s="154"/>
      <c r="J18" s="154"/>
      <c r="K18" s="164"/>
      <c r="L18" s="3">
        <f>SUM(L8:L17)</f>
        <v>0</v>
      </c>
      <c r="M18" s="20"/>
      <c r="N18" s="20"/>
      <c r="O18" s="20"/>
      <c r="P18" s="62"/>
      <c r="Q18" s="57"/>
      <c r="R18" s="20"/>
      <c r="S18" s="20"/>
      <c r="T18" s="20"/>
      <c r="U18" s="20"/>
      <c r="V18" s="20"/>
      <c r="W18" s="20"/>
      <c r="X18" s="31" t="s">
        <v>15</v>
      </c>
      <c r="Y18" s="28"/>
      <c r="Z18" s="28"/>
      <c r="AA18" s="32"/>
      <c r="AB18" s="3">
        <f>SUM(AB8:AB17)</f>
        <v>0</v>
      </c>
      <c r="AC18" s="136"/>
      <c r="AD18" s="136" t="s">
        <v>139</v>
      </c>
      <c r="AE18" s="147"/>
      <c r="AF18" s="151">
        <f>ROUND(E12*12,5)</f>
        <v>0</v>
      </c>
      <c r="AH18" s="85"/>
      <c r="AI18" s="4" t="s">
        <v>38</v>
      </c>
      <c r="AJ18" s="110" t="s">
        <v>39</v>
      </c>
      <c r="AK18" s="77"/>
      <c r="AL18" s="111" t="s">
        <v>45</v>
      </c>
      <c r="AM18" s="111" t="s">
        <v>40</v>
      </c>
      <c r="AO18">
        <f>IF(AP18&gt;0,1,0)</f>
        <v>0</v>
      </c>
      <c r="AP18" s="87"/>
      <c r="AQ18" s="87">
        <v>700</v>
      </c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</row>
    <row r="19" spans="1:59" ht="13.5" customHeight="1" hidden="1" thickBot="1">
      <c r="A19" s="79"/>
      <c r="B19" s="25"/>
      <c r="C19" s="25"/>
      <c r="D19" s="25"/>
      <c r="E19" s="25"/>
      <c r="F19" s="25"/>
      <c r="G19" s="25"/>
      <c r="H19" s="20"/>
      <c r="I19" s="20"/>
      <c r="J19" s="20"/>
      <c r="K19" s="20"/>
      <c r="L19" s="20"/>
      <c r="M19" s="20"/>
      <c r="N19" s="20"/>
      <c r="O19" s="20"/>
      <c r="P19" s="62"/>
      <c r="Q19" s="79"/>
      <c r="R19" s="25"/>
      <c r="S19" s="25"/>
      <c r="T19" s="25"/>
      <c r="U19" s="25"/>
      <c r="V19" s="25"/>
      <c r="W19" s="25"/>
      <c r="X19" s="20"/>
      <c r="Y19" s="20"/>
      <c r="Z19" s="20"/>
      <c r="AA19" s="20"/>
      <c r="AB19" s="20"/>
      <c r="AC19" s="136"/>
      <c r="AD19" s="20"/>
      <c r="AE19" s="148"/>
      <c r="AF19" s="62"/>
      <c r="AI19" s="315" t="s">
        <v>33</v>
      </c>
      <c r="AJ19" s="316">
        <v>15000</v>
      </c>
      <c r="AK19" s="77"/>
      <c r="AL19" s="118">
        <v>0</v>
      </c>
      <c r="AM19" s="127">
        <v>0</v>
      </c>
      <c r="AO19">
        <f>IF(AP19&gt;0,1,0)</f>
        <v>0</v>
      </c>
      <c r="AP19" s="87"/>
      <c r="AQ19" s="87">
        <v>500</v>
      </c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</row>
    <row r="20" spans="1:59" ht="15.75">
      <c r="A20" s="241" t="s">
        <v>66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3"/>
      <c r="Q20" s="241" t="s">
        <v>66</v>
      </c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3"/>
      <c r="AI20" s="315"/>
      <c r="AJ20" s="316"/>
      <c r="AK20" s="77"/>
      <c r="AL20" s="128"/>
      <c r="AM20" s="129"/>
      <c r="AP20" s="87"/>
      <c r="AQ20" s="8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</row>
    <row r="21" spans="1:59" ht="12.75">
      <c r="A21" s="289" t="s">
        <v>33</v>
      </c>
      <c r="B21" s="289"/>
      <c r="C21" s="289"/>
      <c r="D21" s="2"/>
      <c r="E21" s="25"/>
      <c r="F21" s="63"/>
      <c r="G21" s="63"/>
      <c r="H21" s="63"/>
      <c r="I21" s="45"/>
      <c r="J21" s="20"/>
      <c r="K21" s="20"/>
      <c r="L21" s="20"/>
      <c r="M21" s="20"/>
      <c r="N21" s="20"/>
      <c r="O21" s="20"/>
      <c r="P21" s="62"/>
      <c r="Q21" s="289" t="s">
        <v>33</v>
      </c>
      <c r="R21" s="289"/>
      <c r="S21" s="289"/>
      <c r="T21" s="2">
        <f>+D21</f>
        <v>0</v>
      </c>
      <c r="U21" s="25"/>
      <c r="V21" s="63" t="str">
        <f>IF(CNG="Si","Mesi a carico",Vuota1)</f>
        <v>        </v>
      </c>
      <c r="W21" s="63"/>
      <c r="X21" s="63"/>
      <c r="Y21" s="45">
        <v>12</v>
      </c>
      <c r="Z21" s="20"/>
      <c r="AA21" s="20"/>
      <c r="AB21" s="20"/>
      <c r="AC21" s="20"/>
      <c r="AD21" s="20"/>
      <c r="AE21" s="20"/>
      <c r="AF21" s="62"/>
      <c r="AI21" s="315"/>
      <c r="AJ21" s="316"/>
      <c r="AK21" s="77"/>
      <c r="AL21" s="128"/>
      <c r="AM21" s="129"/>
      <c r="AP21" s="87"/>
      <c r="AQ21" s="87"/>
      <c r="AT21" s="77"/>
      <c r="AU21" s="303" t="s">
        <v>83</v>
      </c>
      <c r="AV21" s="304"/>
      <c r="AW21" s="305"/>
      <c r="AX21" s="77"/>
      <c r="AY21" s="77"/>
      <c r="AZ21" s="77"/>
      <c r="BA21" s="77"/>
      <c r="BB21" s="77"/>
      <c r="BC21" s="77"/>
      <c r="BD21" s="77"/>
      <c r="BE21" s="77"/>
      <c r="BF21" s="77"/>
      <c r="BG21" s="77"/>
    </row>
    <row r="22" spans="1:59" ht="12.75">
      <c r="A22" s="64"/>
      <c r="B22" s="63"/>
      <c r="C22" s="48"/>
      <c r="D22" s="20"/>
      <c r="E22" s="25"/>
      <c r="F22" s="63"/>
      <c r="G22" s="63"/>
      <c r="H22" s="63"/>
      <c r="I22" s="20"/>
      <c r="J22" s="20"/>
      <c r="K22" s="20"/>
      <c r="L22" s="20"/>
      <c r="M22" s="20"/>
      <c r="N22" s="20"/>
      <c r="O22" s="20"/>
      <c r="P22" s="62"/>
      <c r="Q22" s="64"/>
      <c r="R22" s="63"/>
      <c r="S22" s="48"/>
      <c r="T22" s="20"/>
      <c r="U22" s="25"/>
      <c r="V22" s="63"/>
      <c r="W22" s="63"/>
      <c r="X22" s="63"/>
      <c r="Y22" s="20"/>
      <c r="Z22" s="20"/>
      <c r="AA22" s="20"/>
      <c r="AB22" s="20"/>
      <c r="AC22" s="20"/>
      <c r="AD22" s="20"/>
      <c r="AE22" s="20"/>
      <c r="AF22" s="62"/>
      <c r="AI22" s="315"/>
      <c r="AJ22" s="316"/>
      <c r="AK22" s="77"/>
      <c r="AL22" s="128"/>
      <c r="AM22" s="129"/>
      <c r="AP22" s="87"/>
      <c r="AQ22" s="87"/>
      <c r="AT22" s="77"/>
      <c r="AU22" s="306"/>
      <c r="AV22" s="257"/>
      <c r="AW22" s="307"/>
      <c r="AX22" s="77"/>
      <c r="AY22" s="77"/>
      <c r="AZ22" s="77"/>
      <c r="BA22" s="77"/>
      <c r="BB22" s="77"/>
      <c r="BC22" s="77"/>
      <c r="BD22" s="77"/>
      <c r="BE22" s="77"/>
      <c r="BF22" s="77"/>
      <c r="BG22" s="77"/>
    </row>
    <row r="23" spans="1:59" ht="12.75">
      <c r="A23" s="54" t="s">
        <v>67</v>
      </c>
      <c r="B23" s="55"/>
      <c r="C23" s="56"/>
      <c r="D23" s="49"/>
      <c r="E23" s="20"/>
      <c r="F23" s="63" t="str">
        <f>IF(N_Fgl&gt;0,"Se il 1° figlio è in assenza del coniuge barrare la casella &gt;&gt;&gt;&gt;",Vuota1)</f>
        <v>        </v>
      </c>
      <c r="G23" s="63"/>
      <c r="H23" s="63"/>
      <c r="I23" s="20"/>
      <c r="J23" s="25"/>
      <c r="K23" s="20"/>
      <c r="L23" s="20"/>
      <c r="M23" s="20"/>
      <c r="N23" s="43"/>
      <c r="O23" s="63"/>
      <c r="P23" s="65"/>
      <c r="Q23" s="54" t="s">
        <v>67</v>
      </c>
      <c r="R23" s="55"/>
      <c r="S23" s="56"/>
      <c r="T23" s="49">
        <f>+D23</f>
        <v>0</v>
      </c>
      <c r="U23" s="20"/>
      <c r="V23" s="63" t="str">
        <f>IF(N_Fgl&gt;0,"Se il 1° figlio è in assenza delconiuge barrare la casella &gt;&gt;&gt;&gt;",Vuota1)</f>
        <v>        </v>
      </c>
      <c r="W23" s="63"/>
      <c r="X23" s="63"/>
      <c r="Y23" s="20"/>
      <c r="Z23" s="25"/>
      <c r="AA23" s="20"/>
      <c r="AB23" s="20"/>
      <c r="AC23" s="20"/>
      <c r="AD23" s="44">
        <f>+N23</f>
        <v>0</v>
      </c>
      <c r="AE23" s="63" t="str">
        <f>IF(AD23&gt;0,"Mesi a carico",Vuota1)</f>
        <v>        </v>
      </c>
      <c r="AF23" s="65"/>
      <c r="AI23" s="315"/>
      <c r="AJ23" s="316"/>
      <c r="AK23" s="77"/>
      <c r="AL23" s="128"/>
      <c r="AM23" s="129"/>
      <c r="AP23" s="87"/>
      <c r="AQ23" s="87"/>
      <c r="AT23" s="77"/>
      <c r="AU23" s="306"/>
      <c r="AV23" s="257"/>
      <c r="AW23" s="307"/>
      <c r="AX23" s="77"/>
      <c r="AY23" s="77"/>
      <c r="AZ23" s="77"/>
      <c r="BA23" s="77"/>
      <c r="BB23" s="77"/>
      <c r="BC23" s="77"/>
      <c r="BD23" s="77"/>
      <c r="BE23" s="77"/>
      <c r="BF23" s="77"/>
      <c r="BG23" s="77"/>
    </row>
    <row r="24" spans="1:59" ht="12.75" customHeight="1">
      <c r="A24" s="47"/>
      <c r="B24" s="239" t="s">
        <v>64</v>
      </c>
      <c r="C24" s="240"/>
      <c r="D24" s="293"/>
      <c r="E24" s="294" t="s">
        <v>65</v>
      </c>
      <c r="F24" s="295"/>
      <c r="G24" s="293"/>
      <c r="H24" s="294" t="s">
        <v>59</v>
      </c>
      <c r="I24" s="295"/>
      <c r="J24" s="293"/>
      <c r="K24" s="48"/>
      <c r="L24" s="63"/>
      <c r="M24" s="20"/>
      <c r="N24" s="20"/>
      <c r="O24" s="20"/>
      <c r="P24" s="62"/>
      <c r="Q24" s="47"/>
      <c r="R24" s="239" t="s">
        <v>64</v>
      </c>
      <c r="S24" s="240"/>
      <c r="T24" s="293"/>
      <c r="U24" s="294" t="s">
        <v>65</v>
      </c>
      <c r="V24" s="295"/>
      <c r="W24" s="293"/>
      <c r="X24" s="294" t="s">
        <v>59</v>
      </c>
      <c r="Y24" s="295"/>
      <c r="Z24" s="293"/>
      <c r="AA24" s="42" t="s">
        <v>80</v>
      </c>
      <c r="AB24" s="63"/>
      <c r="AC24" s="20"/>
      <c r="AD24" s="20"/>
      <c r="AE24" s="20"/>
      <c r="AF24" s="62"/>
      <c r="AI24" s="315"/>
      <c r="AJ24" s="316"/>
      <c r="AK24" s="77"/>
      <c r="AL24" s="128"/>
      <c r="AM24" s="129"/>
      <c r="AP24" s="87"/>
      <c r="AQ24" s="87"/>
      <c r="AT24" s="77"/>
      <c r="AU24" s="306"/>
      <c r="AV24" s="257"/>
      <c r="AW24" s="307"/>
      <c r="AX24" s="77"/>
      <c r="AY24" s="77"/>
      <c r="AZ24" s="77"/>
      <c r="BA24" s="77"/>
      <c r="BB24" s="77"/>
      <c r="BC24" s="77"/>
      <c r="BD24" s="77"/>
      <c r="BE24" s="77"/>
      <c r="BF24" s="77"/>
      <c r="BG24" s="77"/>
    </row>
    <row r="25" spans="1:59" ht="12.75" customHeight="1">
      <c r="A25" s="64" t="str">
        <f>IF(N_Fgl&gt;0,"1° figlio",Vuota1)</f>
        <v>        </v>
      </c>
      <c r="B25" s="63"/>
      <c r="C25" s="43"/>
      <c r="D25" s="63"/>
      <c r="E25" s="63"/>
      <c r="F25" s="43"/>
      <c r="G25" s="63"/>
      <c r="H25" s="63"/>
      <c r="I25" s="43"/>
      <c r="J25" s="63"/>
      <c r="K25" s="63"/>
      <c r="L25" s="66" t="str">
        <f>IF($D$23&gt;0,ROUND(AB25/12,2),Vuota1)</f>
        <v>        </v>
      </c>
      <c r="M25" s="231" t="s">
        <v>69</v>
      </c>
      <c r="N25" s="232"/>
      <c r="O25" s="233"/>
      <c r="P25" s="244">
        <v>1</v>
      </c>
      <c r="Q25" s="64" t="str">
        <f>IF(N_Fgl&gt;0,"1° figlio",Vuota1)</f>
        <v>        </v>
      </c>
      <c r="R25" s="63"/>
      <c r="S25" s="43">
        <f aca="true" t="shared" si="2" ref="S25:S31">+C25</f>
        <v>0</v>
      </c>
      <c r="T25" s="63"/>
      <c r="U25" s="63"/>
      <c r="V25" s="43">
        <f aca="true" t="shared" si="3" ref="V25:V31">+F25</f>
        <v>0</v>
      </c>
      <c r="W25" s="63"/>
      <c r="X25" s="63"/>
      <c r="Y25" s="43">
        <f aca="true" t="shared" si="4" ref="Y25:Y31">+I25</f>
        <v>0</v>
      </c>
      <c r="Z25" s="63"/>
      <c r="AA25" s="43"/>
      <c r="AB25" s="66" t="str">
        <f>IF(N_Fgl&gt;0,IF(AD23&gt;0,AH27,ROUND(dsfig*Percm,2)+IF($V$25&gt;0,ROUND((dsfg3-dsfig)*Percm,2),0)+IF($Y$25&gt;0,ROUND(dsfhc*Percm,2),0)),Vuota1)</f>
        <v>        </v>
      </c>
      <c r="AC25" s="231" t="s">
        <v>69</v>
      </c>
      <c r="AD25" s="232"/>
      <c r="AE25" s="233"/>
      <c r="AF25" s="244">
        <f>+P25</f>
        <v>1</v>
      </c>
      <c r="AH25" s="106">
        <f>ROUND(dsfig,5)+IF($V$25&gt;0,ROUND(dsfg3-dsfig,5),0)+IF($Y$25&gt;0,ROUND(dsfhc,5),0)</f>
        <v>0</v>
      </c>
      <c r="AI25" s="315"/>
      <c r="AJ25" s="316"/>
      <c r="AK25" s="77"/>
      <c r="AL25" s="128"/>
      <c r="AM25" s="129"/>
      <c r="AP25" s="87"/>
      <c r="AQ25" s="87"/>
      <c r="AT25" s="77"/>
      <c r="AU25" s="308"/>
      <c r="AV25" s="309"/>
      <c r="AW25" s="310"/>
      <c r="AX25" s="77"/>
      <c r="AY25" s="77"/>
      <c r="AZ25" s="77"/>
      <c r="BA25" s="77"/>
      <c r="BB25" s="77"/>
      <c r="BC25" s="77"/>
      <c r="BD25" s="77"/>
      <c r="BE25" s="77"/>
      <c r="BF25" s="77"/>
      <c r="BG25" s="77"/>
    </row>
    <row r="26" spans="1:59" ht="12.75">
      <c r="A26" s="64" t="str">
        <f>IF(N_Fgl&gt;1,"2° figlio"," ")</f>
        <v> </v>
      </c>
      <c r="B26" s="63"/>
      <c r="C26" s="43"/>
      <c r="D26" s="63"/>
      <c r="E26" s="63"/>
      <c r="F26" s="43"/>
      <c r="G26" s="63"/>
      <c r="H26" s="63"/>
      <c r="I26" s="43"/>
      <c r="J26" s="63"/>
      <c r="K26" s="63"/>
      <c r="L26" s="66" t="str">
        <f>IF($D$23&gt;1,ROUND(AB26/12,2),Vuota1)</f>
        <v>        </v>
      </c>
      <c r="M26" s="234"/>
      <c r="N26" s="188"/>
      <c r="O26" s="235"/>
      <c r="P26" s="245"/>
      <c r="Q26" s="64" t="str">
        <f>IF(N_Fgl&gt;1,"2° figlio"," ")</f>
        <v> </v>
      </c>
      <c r="R26" s="63"/>
      <c r="S26" s="43">
        <f t="shared" si="2"/>
        <v>0</v>
      </c>
      <c r="T26" s="63"/>
      <c r="U26" s="63"/>
      <c r="V26" s="43">
        <f t="shared" si="3"/>
        <v>0</v>
      </c>
      <c r="W26" s="63"/>
      <c r="X26" s="63"/>
      <c r="Y26" s="43">
        <f t="shared" si="4"/>
        <v>0</v>
      </c>
      <c r="Z26" s="63"/>
      <c r="AA26" s="43"/>
      <c r="AB26" s="66" t="str">
        <f>IF(N_Fgl&gt;1,ROUND(dsfig*Percm,2)+IF(V26&gt;0,ROUND((dsfg3-dsfig)*Percm,2),0)+IF(Y26&gt;0,ROUND(dsfhc*Percm,2),0),Vuota1)</f>
        <v>        </v>
      </c>
      <c r="AC26" s="234"/>
      <c r="AD26" s="188"/>
      <c r="AE26" s="235"/>
      <c r="AF26" s="245"/>
      <c r="AI26" s="315"/>
      <c r="AJ26" s="316"/>
      <c r="AK26" s="77"/>
      <c r="AL26" s="128"/>
      <c r="AM26" s="129"/>
      <c r="AP26" s="87"/>
      <c r="AQ26" s="8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</row>
    <row r="27" spans="1:59" ht="12.75">
      <c r="A27" s="64" t="str">
        <f>IF(N_Fgl&gt;2,"3° figlio"," ")</f>
        <v> </v>
      </c>
      <c r="B27" s="63"/>
      <c r="C27" s="43"/>
      <c r="D27" s="63"/>
      <c r="E27" s="63"/>
      <c r="F27" s="43"/>
      <c r="G27" s="63"/>
      <c r="H27" s="63"/>
      <c r="I27" s="43"/>
      <c r="J27" s="63"/>
      <c r="K27" s="63"/>
      <c r="L27" s="66" t="str">
        <f>IF($D$23&gt;2,ROUND(AB27/12,2),Vuota1)</f>
        <v>        </v>
      </c>
      <c r="M27" s="236"/>
      <c r="N27" s="237"/>
      <c r="O27" s="238"/>
      <c r="P27" s="246"/>
      <c r="Q27" s="64" t="str">
        <f>IF(N_Fgl&gt;2,"3° figlio"," ")</f>
        <v> </v>
      </c>
      <c r="R27" s="63"/>
      <c r="S27" s="43">
        <f t="shared" si="2"/>
        <v>0</v>
      </c>
      <c r="T27" s="63"/>
      <c r="U27" s="63"/>
      <c r="V27" s="43">
        <f t="shared" si="3"/>
        <v>0</v>
      </c>
      <c r="W27" s="63"/>
      <c r="X27" s="63"/>
      <c r="Y27" s="43">
        <f t="shared" si="4"/>
        <v>0</v>
      </c>
      <c r="Z27" s="63"/>
      <c r="AA27" s="43"/>
      <c r="AB27" s="66" t="str">
        <f>IF(N_Fgl&gt;2,ROUND(dsfig*Percm,2)+IF(V27&gt;0,ROUND((dsfg3-dsfig)*Percm,2),0)+IF(Y27&gt;0,ROUND(dsfhc*Percm,2),0),Vuota1)</f>
        <v>        </v>
      </c>
      <c r="AC27" s="236"/>
      <c r="AD27" s="237"/>
      <c r="AE27" s="238"/>
      <c r="AF27" s="246"/>
      <c r="AH27" s="106">
        <f>IF($AD$23&gt;0,IF($AH$25&gt;Cng_nn,ROUND($AH$25,2),ROUND(Cng_nn,5)),AH25)</f>
        <v>0</v>
      </c>
      <c r="AI27" s="315"/>
      <c r="AJ27" s="316"/>
      <c r="AK27" s="77"/>
      <c r="AL27" s="128"/>
      <c r="AM27" s="129"/>
      <c r="AP27" s="87"/>
      <c r="AQ27" s="8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</row>
    <row r="28" spans="1:59" ht="12.75">
      <c r="A28" s="64" t="str">
        <f>IF(N_Fgl&gt;3,"4° figlio"," ")</f>
        <v> </v>
      </c>
      <c r="B28" s="63"/>
      <c r="C28" s="43"/>
      <c r="D28" s="63"/>
      <c r="E28" s="63"/>
      <c r="F28" s="43"/>
      <c r="G28" s="63"/>
      <c r="H28" s="63"/>
      <c r="I28" s="43"/>
      <c r="J28" s="63"/>
      <c r="K28" s="63"/>
      <c r="L28" s="66" t="str">
        <f>IF($D$23&gt;3,ROUND(AB28/12,2),Vuota1)</f>
        <v>        </v>
      </c>
      <c r="M28" s="319" t="str">
        <f>IF(N23&gt;0,IF(P25=50%,"Attenzione: la percentuale deve essere 100%",Vuota1),Vuota1)</f>
        <v>        </v>
      </c>
      <c r="N28" s="319"/>
      <c r="O28" s="319"/>
      <c r="P28" s="320"/>
      <c r="Q28" s="64" t="str">
        <f>IF(N_Fgl&gt;3,"4° figlio"," ")</f>
        <v> </v>
      </c>
      <c r="R28" s="63"/>
      <c r="S28" s="43">
        <f t="shared" si="2"/>
        <v>0</v>
      </c>
      <c r="T28" s="63"/>
      <c r="U28" s="63"/>
      <c r="V28" s="43">
        <f t="shared" si="3"/>
        <v>0</v>
      </c>
      <c r="W28" s="63"/>
      <c r="X28" s="63"/>
      <c r="Y28" s="43">
        <f t="shared" si="4"/>
        <v>0</v>
      </c>
      <c r="Z28" s="63"/>
      <c r="AA28" s="43"/>
      <c r="AB28" s="66" t="str">
        <f>IF(N_Fgl&gt;3,ROUND(dsfig*Percm,2)+IF(V28&gt;0,ROUND((dsfg3-dsfig)*Percm,2),0)+IF(Y28&gt;0,ROUND(dsfhc*Percm,2),0),Vuota1)</f>
        <v>        </v>
      </c>
      <c r="AC28" s="20"/>
      <c r="AD28" s="20"/>
      <c r="AE28" s="20"/>
      <c r="AF28" s="62"/>
      <c r="AI28" s="315"/>
      <c r="AJ28" s="316"/>
      <c r="AK28" s="77"/>
      <c r="AL28" s="128"/>
      <c r="AM28" s="129"/>
      <c r="AP28" s="87"/>
      <c r="AQ28" s="8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</row>
    <row r="29" spans="1:59" ht="13.5" thickBot="1">
      <c r="A29" s="64" t="str">
        <f>IF(N_Fgl&gt;4,"5° figlio"," ")</f>
        <v> </v>
      </c>
      <c r="B29" s="63"/>
      <c r="C29" s="43"/>
      <c r="D29" s="63"/>
      <c r="E29" s="63"/>
      <c r="F29" s="43"/>
      <c r="G29" s="63"/>
      <c r="H29" s="63"/>
      <c r="I29" s="43"/>
      <c r="J29" s="63"/>
      <c r="K29" s="63"/>
      <c r="L29" s="66" t="str">
        <f>IF($D$23&gt;4,ROUND(AB29/12,2),Vuota1)</f>
        <v>        </v>
      </c>
      <c r="M29" s="321"/>
      <c r="N29" s="321"/>
      <c r="O29" s="321"/>
      <c r="P29" s="322"/>
      <c r="Q29" s="64" t="str">
        <f>IF(N_Fgl&gt;4,"5° figlio"," ")</f>
        <v> </v>
      </c>
      <c r="R29" s="63"/>
      <c r="S29" s="43">
        <f t="shared" si="2"/>
        <v>0</v>
      </c>
      <c r="T29" s="63"/>
      <c r="U29" s="63"/>
      <c r="V29" s="43">
        <f t="shared" si="3"/>
        <v>0</v>
      </c>
      <c r="W29" s="63"/>
      <c r="X29" s="63"/>
      <c r="Y29" s="43">
        <f t="shared" si="4"/>
        <v>0</v>
      </c>
      <c r="Z29" s="63"/>
      <c r="AA29" s="43"/>
      <c r="AB29" s="66" t="str">
        <f>IF(N_Fgl&gt;4,ROUND(dsfig*Percm,2)+IF(V29&gt;0,ROUND((dsfg3-dsfig)*Percm,2),0)+IF(Y29&gt;0,ROUND(dsfhc*Percm,2),0),Vuota1)</f>
        <v>        </v>
      </c>
      <c r="AC29" s="20"/>
      <c r="AD29" s="20"/>
      <c r="AE29" s="20"/>
      <c r="AF29" s="62"/>
      <c r="AI29" s="315"/>
      <c r="AJ29" s="316"/>
      <c r="AK29" s="77"/>
      <c r="AL29" s="128"/>
      <c r="AM29" s="129"/>
      <c r="AP29" s="87"/>
      <c r="AQ29" s="8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</row>
    <row r="30" spans="1:59" ht="13.5" thickTop="1">
      <c r="A30" s="64" t="str">
        <f>IF(N_Fgl&gt;5,"6° figlio"," ")</f>
        <v> </v>
      </c>
      <c r="B30" s="63"/>
      <c r="C30" s="43"/>
      <c r="D30" s="63"/>
      <c r="E30" s="63"/>
      <c r="F30" s="43"/>
      <c r="G30" s="63"/>
      <c r="H30" s="63"/>
      <c r="I30" s="43"/>
      <c r="J30" s="63"/>
      <c r="K30" s="63"/>
      <c r="L30" s="66" t="str">
        <f>IF($D$23&gt;5,ROUND(AB30/12,2),Vuota1)</f>
        <v>        </v>
      </c>
      <c r="M30" s="20"/>
      <c r="N30" s="20"/>
      <c r="O30" s="20"/>
      <c r="P30" s="62"/>
      <c r="Q30" s="64" t="str">
        <f>IF(N_Fgl&gt;5,"6° figlio"," ")</f>
        <v> </v>
      </c>
      <c r="R30" s="63"/>
      <c r="S30" s="43">
        <f t="shared" si="2"/>
        <v>0</v>
      </c>
      <c r="T30" s="63"/>
      <c r="U30" s="63"/>
      <c r="V30" s="43">
        <f t="shared" si="3"/>
        <v>0</v>
      </c>
      <c r="W30" s="63"/>
      <c r="X30" s="63"/>
      <c r="Y30" s="43">
        <f t="shared" si="4"/>
        <v>0</v>
      </c>
      <c r="Z30" s="63"/>
      <c r="AA30" s="43"/>
      <c r="AB30" s="66" t="str">
        <f>IF(N_Fgl&gt;5,ROUND(dsfig*Percm,2)+IF(V30&gt;0,ROUND((dsfg3-dsfig)*Percm,2),0)+IF(Y30&gt;0,ROUND(dsfhc*Percm,2),0),Vuota1)</f>
        <v>        </v>
      </c>
      <c r="AC30" s="20"/>
      <c r="AD30" s="20"/>
      <c r="AE30" s="20"/>
      <c r="AF30" s="62"/>
      <c r="AI30" s="315"/>
      <c r="AJ30" s="316"/>
      <c r="AK30" s="77"/>
      <c r="AL30" s="128"/>
      <c r="AM30" s="129"/>
      <c r="AP30" s="87"/>
      <c r="AQ30" s="87"/>
      <c r="AT30" s="77"/>
      <c r="AU30" s="253" t="s">
        <v>99</v>
      </c>
      <c r="AV30" s="254"/>
      <c r="AW30" s="255"/>
      <c r="AX30" s="77"/>
      <c r="AY30" s="77"/>
      <c r="AZ30" s="77"/>
      <c r="BA30" s="77"/>
      <c r="BB30" s="77"/>
      <c r="BC30" s="77"/>
      <c r="BD30" s="77"/>
      <c r="BE30" s="77"/>
      <c r="BF30" s="77"/>
      <c r="BG30" s="77"/>
    </row>
    <row r="31" spans="1:59" ht="12.75">
      <c r="A31" s="64" t="str">
        <f>IF(N_Fgl&gt;6,"7° figlio"," ")</f>
        <v> </v>
      </c>
      <c r="B31" s="63"/>
      <c r="C31" s="43"/>
      <c r="D31" s="63"/>
      <c r="E31" s="63"/>
      <c r="F31" s="43"/>
      <c r="G31" s="63"/>
      <c r="H31" s="63"/>
      <c r="I31" s="43"/>
      <c r="J31" s="63"/>
      <c r="K31" s="63"/>
      <c r="L31" s="66" t="str">
        <f>IF($D$23&gt;6,ROUND(AB31/12,2),Vuota1)</f>
        <v>        </v>
      </c>
      <c r="M31" s="20"/>
      <c r="N31" s="20"/>
      <c r="O31" s="20"/>
      <c r="P31" s="62"/>
      <c r="Q31" s="64" t="str">
        <f>IF(N_Fgl&gt;6,"7° figlio"," ")</f>
        <v> </v>
      </c>
      <c r="R31" s="63"/>
      <c r="S31" s="43">
        <f t="shared" si="2"/>
        <v>0</v>
      </c>
      <c r="T31" s="63"/>
      <c r="U31" s="63"/>
      <c r="V31" s="43">
        <f t="shared" si="3"/>
        <v>0</v>
      </c>
      <c r="W31" s="63"/>
      <c r="X31" s="63"/>
      <c r="Y31" s="43">
        <f t="shared" si="4"/>
        <v>0</v>
      </c>
      <c r="Z31" s="63"/>
      <c r="AA31" s="43"/>
      <c r="AB31" s="66" t="str">
        <f>IF(N_Fgl&gt;6,ROUND(dsfig*Percm,2)+IF(V31&gt;0,ROUND((dsfg3-dsfig)*Percm,2),0)+IF(Y31&gt;0,ROUND(dsfhc*Percm,2),0),Vuota1)</f>
        <v>        </v>
      </c>
      <c r="AC31" s="20"/>
      <c r="AD31" s="20"/>
      <c r="AE31" s="20"/>
      <c r="AF31" s="62"/>
      <c r="AI31" s="315"/>
      <c r="AJ31" s="316"/>
      <c r="AK31" s="77"/>
      <c r="AL31" s="128"/>
      <c r="AM31" s="129"/>
      <c r="AP31" s="87"/>
      <c r="AQ31" s="87"/>
      <c r="AT31" s="77"/>
      <c r="AU31" s="256"/>
      <c r="AV31" s="257"/>
      <c r="AW31" s="258"/>
      <c r="AX31" s="77"/>
      <c r="AY31" s="77"/>
      <c r="AZ31" s="77"/>
      <c r="BA31" s="77"/>
      <c r="BB31" s="77"/>
      <c r="BC31" s="77"/>
      <c r="BD31" s="77"/>
      <c r="BE31" s="77"/>
      <c r="BF31" s="77"/>
      <c r="BG31" s="77"/>
    </row>
    <row r="32" spans="1:59" ht="12.75">
      <c r="A32" s="5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62"/>
      <c r="Q32" s="57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62"/>
      <c r="AI32" s="315"/>
      <c r="AJ32" s="316"/>
      <c r="AK32" s="77"/>
      <c r="AL32" s="128"/>
      <c r="AM32" s="129"/>
      <c r="AP32" s="87"/>
      <c r="AQ32" s="87"/>
      <c r="AT32" s="77"/>
      <c r="AU32" s="256"/>
      <c r="AV32" s="257"/>
      <c r="AW32" s="258"/>
      <c r="AX32" s="77"/>
      <c r="AY32" s="77"/>
      <c r="AZ32" s="77"/>
      <c r="BA32" s="77"/>
      <c r="BB32" s="77"/>
      <c r="BC32" s="77"/>
      <c r="BD32" s="77"/>
      <c r="BE32" s="77"/>
      <c r="BF32" s="77"/>
      <c r="BG32" s="77"/>
    </row>
    <row r="33" spans="1:59" ht="12.75" customHeight="1">
      <c r="A33" s="286" t="s">
        <v>86</v>
      </c>
      <c r="B33" s="287"/>
      <c r="C33" s="288"/>
      <c r="D33" s="2"/>
      <c r="E33" s="20"/>
      <c r="F33" s="63"/>
      <c r="G33" s="63"/>
      <c r="H33" s="63"/>
      <c r="I33" s="45"/>
      <c r="J33" s="20"/>
      <c r="K33" s="188" t="str">
        <f>IF(D33&gt;0,"Indicare il numero complessivo degli aventi diritto alla detrazione pro quota",Vuota1)</f>
        <v>        </v>
      </c>
      <c r="L33" s="179"/>
      <c r="M33" s="179"/>
      <c r="N33" s="179"/>
      <c r="O33" s="179"/>
      <c r="P33" s="223"/>
      <c r="Q33" s="286" t="s">
        <v>86</v>
      </c>
      <c r="R33" s="287"/>
      <c r="S33" s="288"/>
      <c r="T33" s="2">
        <f>+D33</f>
        <v>0</v>
      </c>
      <c r="U33" s="20"/>
      <c r="V33" s="63" t="str">
        <f>IF(T33&gt;0,"Mesi a carico",Vuota1)</f>
        <v>        </v>
      </c>
      <c r="W33" s="63"/>
      <c r="X33" s="63"/>
      <c r="Y33" s="45">
        <v>12</v>
      </c>
      <c r="Z33" s="20"/>
      <c r="AA33" s="188" t="str">
        <f>IF(T33&gt;0,"Indicare il numero complessivo degli aventi diritto alla detrazione pro quota",Vuota1)</f>
        <v>        </v>
      </c>
      <c r="AB33" s="311"/>
      <c r="AC33" s="311"/>
      <c r="AD33" s="311"/>
      <c r="AE33" s="311"/>
      <c r="AF33" s="223">
        <f>+P33</f>
        <v>0</v>
      </c>
      <c r="AI33" s="315"/>
      <c r="AJ33" s="316"/>
      <c r="AK33" s="77"/>
      <c r="AL33" s="128"/>
      <c r="AM33" s="129"/>
      <c r="AP33" s="87"/>
      <c r="AQ33" s="87"/>
      <c r="AT33" s="77"/>
      <c r="AU33" s="256"/>
      <c r="AV33" s="257"/>
      <c r="AW33" s="258"/>
      <c r="AX33" s="77"/>
      <c r="AY33" s="77"/>
      <c r="AZ33" s="77"/>
      <c r="BA33" s="77"/>
      <c r="BB33" s="77"/>
      <c r="BC33" s="77"/>
      <c r="BD33" s="77"/>
      <c r="BE33" s="77"/>
      <c r="BF33" s="77"/>
      <c r="BG33" s="77"/>
    </row>
    <row r="34" spans="1:59" ht="12.75">
      <c r="A34" s="80"/>
      <c r="B34" s="81"/>
      <c r="C34" s="81"/>
      <c r="D34" s="82"/>
      <c r="E34" s="20"/>
      <c r="F34" s="63"/>
      <c r="G34" s="63"/>
      <c r="H34" s="63"/>
      <c r="I34" s="45"/>
      <c r="J34" s="20"/>
      <c r="K34" s="180"/>
      <c r="L34" s="180"/>
      <c r="M34" s="180"/>
      <c r="N34" s="180"/>
      <c r="O34" s="180"/>
      <c r="P34" s="224"/>
      <c r="Q34" s="80"/>
      <c r="R34" s="81"/>
      <c r="S34" s="81"/>
      <c r="T34" s="82"/>
      <c r="U34" s="20"/>
      <c r="V34" s="63"/>
      <c r="W34" s="63"/>
      <c r="X34" s="63"/>
      <c r="Y34" s="45"/>
      <c r="Z34" s="20"/>
      <c r="AA34" s="180"/>
      <c r="AB34" s="180"/>
      <c r="AC34" s="180"/>
      <c r="AD34" s="180"/>
      <c r="AE34" s="180"/>
      <c r="AF34" s="224"/>
      <c r="AI34" s="315"/>
      <c r="AJ34" s="316"/>
      <c r="AK34" s="77"/>
      <c r="AL34" s="128"/>
      <c r="AM34" s="129"/>
      <c r="AP34" s="87"/>
      <c r="AQ34" s="87"/>
      <c r="AT34" s="77"/>
      <c r="AU34" s="256"/>
      <c r="AV34" s="257"/>
      <c r="AW34" s="258"/>
      <c r="AX34" s="77"/>
      <c r="AY34" s="77"/>
      <c r="AZ34" s="77"/>
      <c r="BA34" s="77"/>
      <c r="BB34" s="77"/>
      <c r="BC34" s="77"/>
      <c r="BD34" s="77"/>
      <c r="BE34" s="77"/>
      <c r="BF34" s="77"/>
      <c r="BG34" s="77"/>
    </row>
    <row r="35" spans="1:59" ht="12.75">
      <c r="A35" s="165" t="s">
        <v>70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7"/>
      <c r="Q35" s="165" t="s">
        <v>70</v>
      </c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7"/>
      <c r="AI35" s="315"/>
      <c r="AJ35" s="316"/>
      <c r="AK35" s="77"/>
      <c r="AL35" s="120">
        <v>0.0001</v>
      </c>
      <c r="AM35" s="121">
        <f>ROUND(DetrConiuge-(Ind*Rapp),2)</f>
        <v>800</v>
      </c>
      <c r="AO35">
        <f>IF(AP35&gt;0,1,0)</f>
        <v>0</v>
      </c>
      <c r="AP35" s="87"/>
      <c r="AQ35" s="87">
        <v>200</v>
      </c>
      <c r="AT35" s="77"/>
      <c r="AU35" s="256"/>
      <c r="AV35" s="257"/>
      <c r="AW35" s="258"/>
      <c r="AX35" s="77"/>
      <c r="AY35" s="77"/>
      <c r="AZ35" s="77"/>
      <c r="BA35" s="77"/>
      <c r="BB35" s="77"/>
      <c r="BC35" s="77"/>
      <c r="BD35" s="77"/>
      <c r="BE35" s="77"/>
      <c r="BF35" s="77"/>
      <c r="BG35" s="77"/>
    </row>
    <row r="36" spans="1:59" ht="12.75">
      <c r="A36" s="290" t="s">
        <v>32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2"/>
      <c r="Q36" s="290" t="s">
        <v>32</v>
      </c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2"/>
      <c r="AH36" s="184" t="s">
        <v>62</v>
      </c>
      <c r="AI36" s="315"/>
      <c r="AJ36" s="316"/>
      <c r="AK36" s="77"/>
      <c r="AL36" s="122">
        <v>1</v>
      </c>
      <c r="AM36" s="121">
        <f>+DetrRid</f>
        <v>690</v>
      </c>
      <c r="AO36">
        <f>IF(AP36&gt;0,1,0)</f>
        <v>0</v>
      </c>
      <c r="AP36" s="87"/>
      <c r="AQ36" s="87">
        <v>1500</v>
      </c>
      <c r="AT36" s="77"/>
      <c r="AU36" s="256"/>
      <c r="AV36" s="257"/>
      <c r="AW36" s="258"/>
      <c r="AX36" s="77"/>
      <c r="AY36" s="77"/>
      <c r="AZ36" s="77"/>
      <c r="BA36" s="77"/>
      <c r="BB36" s="77"/>
      <c r="BC36" s="77"/>
      <c r="BD36" s="77"/>
      <c r="BE36" s="77"/>
      <c r="BF36" s="77"/>
      <c r="BG36" s="77"/>
    </row>
    <row r="37" spans="1:59" ht="12.75">
      <c r="A37" s="225" t="s">
        <v>19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7"/>
      <c r="M37" s="3">
        <f>ROUND(AC37/12,0)</f>
        <v>0</v>
      </c>
      <c r="N37" s="20"/>
      <c r="O37" s="20"/>
      <c r="P37" s="62"/>
      <c r="Q37" s="225" t="s">
        <v>19</v>
      </c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7"/>
      <c r="AC37" s="3">
        <f>IF(CNG="SI",ROUND((VLOOKUP(Redd_Detraz,ConDetr,3)+VLOOKUP(Redd_Detraz,LettB,3))/12*Me_co,2),0)</f>
        <v>0</v>
      </c>
      <c r="AD37" s="20"/>
      <c r="AE37" s="20"/>
      <c r="AF37" s="62"/>
      <c r="AH37" s="184"/>
      <c r="AI37" s="315"/>
      <c r="AJ37" s="316"/>
      <c r="AK37" s="77"/>
      <c r="AL37" s="123">
        <v>10</v>
      </c>
      <c r="AM37" s="124">
        <f>ROUND(DetrConiuge-(Ind*Rapp),2)</f>
        <v>800</v>
      </c>
      <c r="AO37">
        <f>SUM(AO18:AO36)</f>
        <v>0</v>
      </c>
      <c r="AT37" s="77"/>
      <c r="AU37" s="256"/>
      <c r="AV37" s="257"/>
      <c r="AW37" s="258"/>
      <c r="AX37" s="77"/>
      <c r="AY37" s="77"/>
      <c r="AZ37" s="77"/>
      <c r="BA37" s="77"/>
      <c r="BB37" s="77"/>
      <c r="BC37" s="77"/>
      <c r="BD37" s="77"/>
      <c r="BE37" s="77"/>
      <c r="BF37" s="77"/>
      <c r="BG37" s="77"/>
    </row>
    <row r="38" spans="1:59" ht="13.5" thickBot="1">
      <c r="A38" s="225" t="s">
        <v>42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7"/>
      <c r="M38" s="3">
        <f>ROUND(AC38/12,0)</f>
        <v>0</v>
      </c>
      <c r="N38" s="20"/>
      <c r="O38" s="20"/>
      <c r="P38" s="62"/>
      <c r="Q38" s="225" t="s">
        <v>42</v>
      </c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7"/>
      <c r="AC38" s="3">
        <f>SUMIF(AB25:AB31,"&gt;0")</f>
        <v>0</v>
      </c>
      <c r="AD38" s="20"/>
      <c r="AE38" s="20"/>
      <c r="AF38" s="62"/>
      <c r="AH38" s="109">
        <f>IF(Lordo&gt;0,ROUND((VLOOKUP(Redd_Detraz,ConDetr,3)+VLOOKUP(Redd_Detraz,LettB,3)),5),0)</f>
        <v>0</v>
      </c>
      <c r="AI38" s="315"/>
      <c r="AJ38" s="110">
        <v>40000</v>
      </c>
      <c r="AK38" s="77"/>
      <c r="AL38" s="125"/>
      <c r="AM38" s="126">
        <f>+DetrRid</f>
        <v>690</v>
      </c>
      <c r="AT38" s="77"/>
      <c r="AU38" s="259"/>
      <c r="AV38" s="260"/>
      <c r="AW38" s="261"/>
      <c r="AX38" s="77"/>
      <c r="AY38" s="77"/>
      <c r="AZ38" s="77"/>
      <c r="BA38" s="77"/>
      <c r="BB38" s="77"/>
      <c r="BC38" s="77"/>
      <c r="BD38" s="77"/>
      <c r="BE38" s="77"/>
      <c r="BF38" s="77"/>
      <c r="BG38" s="77"/>
    </row>
    <row r="39" spans="1:59" ht="13.5" thickTop="1">
      <c r="A39" s="225" t="s">
        <v>56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7"/>
      <c r="M39" s="3">
        <f>IF(D33&gt;0,IF(P33&gt;0,ROUND(AC39/12,0),0),0)</f>
        <v>0</v>
      </c>
      <c r="N39" s="20"/>
      <c r="O39" s="20"/>
      <c r="P39" s="62"/>
      <c r="Q39" s="225" t="s">
        <v>56</v>
      </c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7"/>
      <c r="AC39" s="3">
        <f>IF(T33&gt;0,ROUND(dsaltri*T33/12*Y33/AF33,2),0)</f>
        <v>0</v>
      </c>
      <c r="AD39" s="20"/>
      <c r="AE39" s="20"/>
      <c r="AF39" s="62"/>
      <c r="AI39" s="315"/>
      <c r="AJ39" s="316">
        <v>80000</v>
      </c>
      <c r="AK39" s="77"/>
      <c r="AL39" s="118">
        <v>0</v>
      </c>
      <c r="AM39" s="119">
        <v>0</v>
      </c>
      <c r="AP39">
        <f>IF(AO37&gt;0,IF(VLOOKUP(AP42,abi,2)&lt;DetrRid,DetrRid,VLOOKUP(AP42,abi,2)),0)</f>
        <v>0</v>
      </c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</row>
    <row r="40" spans="1:59" ht="12.75">
      <c r="A40" s="172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4"/>
      <c r="Q40" s="172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4"/>
      <c r="AH40" s="184" t="s">
        <v>63</v>
      </c>
      <c r="AI40" s="315"/>
      <c r="AJ40" s="316"/>
      <c r="AK40" s="77"/>
      <c r="AL40" s="120">
        <v>0.0001</v>
      </c>
      <c r="AM40" s="121">
        <f>ROUND(DetrRid*Rap1,2)</f>
        <v>1380</v>
      </c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</row>
    <row r="41" spans="1:59" ht="12.75">
      <c r="A41" s="225" t="s">
        <v>76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7"/>
      <c r="M41" s="3">
        <f>SUM(M37:M39)</f>
        <v>0</v>
      </c>
      <c r="N41" s="20"/>
      <c r="O41" s="20"/>
      <c r="P41" s="62"/>
      <c r="Q41" s="225" t="s">
        <v>76</v>
      </c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7"/>
      <c r="AC41" s="3">
        <f>SUM(AC37:AC39)</f>
        <v>0</v>
      </c>
      <c r="AD41" s="20"/>
      <c r="AE41" s="20"/>
      <c r="AF41" s="62"/>
      <c r="AH41" s="184"/>
      <c r="AI41" s="315"/>
      <c r="AJ41" s="316"/>
      <c r="AK41" s="77"/>
      <c r="AL41" s="122">
        <v>1</v>
      </c>
      <c r="AM41" s="121">
        <f>ROUND(DetrRid*Rap1,2)</f>
        <v>1380</v>
      </c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</row>
    <row r="42" spans="1:59" ht="12.75">
      <c r="A42" s="165" t="s">
        <v>71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7"/>
      <c r="Q42" s="165" t="s">
        <v>71</v>
      </c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7"/>
      <c r="AH42" s="106">
        <f>dsfig+IF($V$25&gt;0,dsfg3-dsfig,0)+IF($Y$25&gt;0,dsfhc,0)</f>
        <v>0</v>
      </c>
      <c r="AI42" s="315"/>
      <c r="AJ42" s="316"/>
      <c r="AK42" s="77"/>
      <c r="AL42" s="123">
        <v>10</v>
      </c>
      <c r="AM42" s="124">
        <f>ROUND(DetrRid*Rap1,2)</f>
        <v>1380</v>
      </c>
      <c r="AP42" t="s">
        <v>58</v>
      </c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</row>
    <row r="43" spans="1:59" ht="12.75">
      <c r="A43" s="155" t="s">
        <v>73</v>
      </c>
      <c r="B43" s="156"/>
      <c r="C43" s="156"/>
      <c r="D43" s="156"/>
      <c r="E43" s="156"/>
      <c r="F43" s="157"/>
      <c r="G43" s="46" t="str">
        <f>IF(E17&gt;0,IF(G44&gt;0,Vuota1,"x"),Vuota1)</f>
        <v>        </v>
      </c>
      <c r="H43" s="63"/>
      <c r="I43" s="312" t="s">
        <v>141</v>
      </c>
      <c r="J43" s="158"/>
      <c r="K43" s="158"/>
      <c r="L43" s="158"/>
      <c r="M43" s="2">
        <v>30</v>
      </c>
      <c r="N43" s="20"/>
      <c r="O43" s="20"/>
      <c r="P43" s="62"/>
      <c r="Q43" s="155" t="s">
        <v>73</v>
      </c>
      <c r="R43" s="156"/>
      <c r="S43" s="156"/>
      <c r="T43" s="156"/>
      <c r="U43" s="156"/>
      <c r="V43" s="157"/>
      <c r="W43" s="46" t="str">
        <f>IF(W44&gt;0,Vuota1,"x")</f>
        <v>x</v>
      </c>
      <c r="X43" s="63"/>
      <c r="Y43" s="312" t="s">
        <v>75</v>
      </c>
      <c r="Z43" s="158"/>
      <c r="AA43" s="158"/>
      <c r="AB43" s="158"/>
      <c r="AC43" s="2">
        <v>365</v>
      </c>
      <c r="AD43" s="20"/>
      <c r="AE43" s="20"/>
      <c r="AF43" s="62"/>
      <c r="AI43" s="315"/>
      <c r="AJ43" s="114">
        <v>1000000000</v>
      </c>
      <c r="AK43" s="77"/>
      <c r="AL43" s="130">
        <v>0</v>
      </c>
      <c r="AM43" s="124">
        <v>0</v>
      </c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</row>
    <row r="44" spans="1:59" ht="12.75">
      <c r="A44" s="67" t="s">
        <v>74</v>
      </c>
      <c r="B44" s="68"/>
      <c r="C44" s="68"/>
      <c r="D44" s="68"/>
      <c r="E44" s="68"/>
      <c r="F44" s="20"/>
      <c r="G44" s="2"/>
      <c r="H44" s="63"/>
      <c r="I44" s="63"/>
      <c r="J44" s="63"/>
      <c r="K44" s="158" t="s">
        <v>77</v>
      </c>
      <c r="L44" s="158"/>
      <c r="M44" s="158"/>
      <c r="N44" s="159"/>
      <c r="O44" s="39">
        <f>IF(E17&gt;0,ROUND(AE44/365*M43,0),0)</f>
        <v>0</v>
      </c>
      <c r="P44" s="62"/>
      <c r="Q44" s="67" t="s">
        <v>74</v>
      </c>
      <c r="R44" s="68"/>
      <c r="S44" s="68"/>
      <c r="T44" s="68"/>
      <c r="U44" s="68"/>
      <c r="V44" s="20"/>
      <c r="W44" s="2">
        <f>+G44</f>
        <v>0</v>
      </c>
      <c r="X44" s="63"/>
      <c r="Y44" s="63"/>
      <c r="Z44" s="63"/>
      <c r="AA44" s="158" t="s">
        <v>77</v>
      </c>
      <c r="AB44" s="158"/>
      <c r="AC44" s="158"/>
      <c r="AD44" s="159"/>
      <c r="AE44" s="39">
        <f>IF(Lordo&gt;0,IF(W44&gt;0,IF(Redd_Detraz&lt;8000.01,IF(AH44&gt;AH47,AH44,AH47),AH44),IF(Redd_Detraz&lt;8000.01,IF(AH44&gt;AH46,AH44,AH46),AH44)),0)</f>
        <v>0</v>
      </c>
      <c r="AF44" s="62"/>
      <c r="AH44" s="373">
        <f>IF(Redd_Detraz&gt;0,ROUND((VLOOKUP(Redd_Detraz,Altre_detraz,2)/365*AC43+VLOOKUP(Redd_Detraz,Aum_altre,2)),5),0)</f>
        <v>0</v>
      </c>
      <c r="AI44" s="315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</row>
    <row r="45" spans="1:59" ht="12.75" customHeight="1" thickBot="1">
      <c r="A45" s="6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70"/>
      <c r="Q45" s="69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70"/>
      <c r="AI45" s="315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</row>
    <row r="46" spans="1:59" ht="12.75" customHeight="1" thickBot="1">
      <c r="A46" s="220" t="s">
        <v>142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2"/>
      <c r="O46" s="228">
        <f>+E17-L18</f>
        <v>0</v>
      </c>
      <c r="P46" s="228"/>
      <c r="Q46" s="71" t="s">
        <v>20</v>
      </c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228">
        <f>+Reddito_imponibile_mensile+Gratif_Anno</f>
        <v>0</v>
      </c>
      <c r="AF46" s="228"/>
      <c r="AH46" s="106">
        <v>690</v>
      </c>
      <c r="AI46" s="315"/>
      <c r="AJ46" s="106">
        <v>0.001</v>
      </c>
      <c r="AK46" s="87"/>
      <c r="AL46" s="106">
        <f>VLOOKUP(Rapp,quin,2)</f>
        <v>0</v>
      </c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</row>
    <row r="47" spans="1:59" ht="12.75" customHeight="1" thickBot="1">
      <c r="A47" s="220" t="s">
        <v>143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2"/>
      <c r="O47" s="162">
        <f>ROUND(IreTab/12,5)</f>
        <v>0</v>
      </c>
      <c r="P47" s="162"/>
      <c r="Q47" s="35" t="s">
        <v>60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14">
        <f>IF(Lordo&gt;0,IF(Reddito_imponibile_mensile&gt;0,ROUND((Reddito_imponibile_mensile-VLOOKUP(Reddito_imponibile_mensile,Aliquote,1))*VLOOKUP(Reddito_imponibile_mensile,Aliquote,3),5)+VLOOKUP(Reddito_imponibile_mensile,Aliquote,4),0)+IF(Gratif_Anno&gt;0,ROUND(Gratif_Anno*VLOOKUP(ReddNetto,Aliquote,3),5),0),0)</f>
        <v>0</v>
      </c>
      <c r="AF47" s="314"/>
      <c r="AH47" s="106">
        <v>1380</v>
      </c>
      <c r="AI47" s="315"/>
      <c r="AJ47" s="106">
        <v>15000</v>
      </c>
      <c r="AK47" s="87"/>
      <c r="AL47" s="106">
        <f>+DetrRid</f>
        <v>690</v>
      </c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</row>
    <row r="48" spans="1:59" ht="13.5" thickBot="1">
      <c r="A48" s="220" t="s">
        <v>144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2"/>
      <c r="O48" s="162">
        <f>+M41+O44</f>
        <v>0</v>
      </c>
      <c r="P48" s="162"/>
      <c r="Q48" s="37" t="s">
        <v>36</v>
      </c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162">
        <f>+AC41+AE44</f>
        <v>0</v>
      </c>
      <c r="AF48" s="162"/>
      <c r="AI48" s="315"/>
      <c r="AJ48" s="106">
        <v>40000</v>
      </c>
      <c r="AK48" s="87"/>
      <c r="AL48" s="106">
        <f>VLOOKUP(Rap1,ottan,2)</f>
        <v>1380</v>
      </c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</row>
    <row r="49" spans="1:59" ht="16.5" thickBot="1">
      <c r="A49" s="296" t="s">
        <v>147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97"/>
      <c r="O49" s="326">
        <f>IF(O47-O48&gt;0,O47-O48,0)</f>
        <v>0</v>
      </c>
      <c r="P49" s="178"/>
      <c r="Q49" s="71" t="s">
        <v>61</v>
      </c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177">
        <f>+AE47-AE48</f>
        <v>0</v>
      </c>
      <c r="AF49" s="178"/>
      <c r="AI49" s="315"/>
      <c r="AJ49" s="106">
        <v>80000</v>
      </c>
      <c r="AK49" s="87"/>
      <c r="AL49" s="106">
        <v>0</v>
      </c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</row>
    <row r="50" spans="1:59" ht="16.5" thickBot="1">
      <c r="A50" s="190" t="s">
        <v>146</v>
      </c>
      <c r="B50" s="190"/>
      <c r="C50" s="190"/>
      <c r="D50" s="190"/>
      <c r="E50" s="191" t="str">
        <f>IF(E17&gt;0,VLOOKUP(ReddNetto,Aliquote,3),Vuota1)</f>
        <v>        </v>
      </c>
      <c r="F50" s="191"/>
      <c r="G50" s="152"/>
      <c r="H50" s="152"/>
      <c r="I50" s="152"/>
      <c r="J50" s="152"/>
      <c r="K50" s="323" t="s">
        <v>131</v>
      </c>
      <c r="L50" s="323"/>
      <c r="M50" s="323"/>
      <c r="N50" s="323"/>
      <c r="O50" s="324">
        <f>+O49</f>
        <v>0</v>
      </c>
      <c r="P50" s="325"/>
      <c r="Q50" s="72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73"/>
      <c r="AI50" s="315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</row>
    <row r="51" spans="17:59" ht="12.75">
      <c r="Q51" s="57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62"/>
      <c r="AI51" s="315"/>
      <c r="AJ51" s="137">
        <v>0</v>
      </c>
      <c r="AK51" s="138"/>
      <c r="AL51" s="115">
        <v>0</v>
      </c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</row>
    <row r="52" spans="17:59" ht="13.5">
      <c r="Q52" s="168" t="s">
        <v>21</v>
      </c>
      <c r="R52" s="169"/>
      <c r="S52" s="169"/>
      <c r="T52" s="153"/>
      <c r="U52" s="163" t="s">
        <v>22</v>
      </c>
      <c r="V52" s="154"/>
      <c r="W52" s="164"/>
      <c r="X52" s="163" t="s">
        <v>23</v>
      </c>
      <c r="Y52" s="154"/>
      <c r="Z52" s="164"/>
      <c r="AA52" s="163" t="s">
        <v>24</v>
      </c>
      <c r="AB52" s="164"/>
      <c r="AC52" s="52" t="s">
        <v>25</v>
      </c>
      <c r="AD52" s="163" t="s">
        <v>26</v>
      </c>
      <c r="AE52" s="164"/>
      <c r="AF52" s="62"/>
      <c r="AI52" s="315"/>
      <c r="AJ52" s="139">
        <v>29000.01</v>
      </c>
      <c r="AK52" s="140"/>
      <c r="AL52" s="116">
        <v>10</v>
      </c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</row>
    <row r="53" spans="17:59" ht="12.75">
      <c r="Q53" s="163" t="s">
        <v>27</v>
      </c>
      <c r="R53" s="154"/>
      <c r="S53" s="154"/>
      <c r="T53" s="164"/>
      <c r="U53" s="53"/>
      <c r="V53" s="2">
        <v>1.4</v>
      </c>
      <c r="W53" s="53"/>
      <c r="X53" s="175">
        <f>+ReddNetto</f>
        <v>0</v>
      </c>
      <c r="Y53" s="219"/>
      <c r="Z53" s="176"/>
      <c r="AA53" s="175">
        <f>ROUND(X53*V53%,2)</f>
        <v>0</v>
      </c>
      <c r="AB53" s="176"/>
      <c r="AC53" s="2">
        <v>10</v>
      </c>
      <c r="AD53" s="175">
        <f>ROUND(AA53/AC53,2)</f>
        <v>0</v>
      </c>
      <c r="AE53" s="176"/>
      <c r="AF53" s="62"/>
      <c r="AI53" s="315"/>
      <c r="AJ53" s="139">
        <v>29200.01</v>
      </c>
      <c r="AK53" s="140"/>
      <c r="AL53" s="116">
        <v>20</v>
      </c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</row>
    <row r="54" spans="17:59" ht="12.75">
      <c r="Q54" s="163" t="s">
        <v>28</v>
      </c>
      <c r="R54" s="154"/>
      <c r="S54" s="154"/>
      <c r="T54" s="164"/>
      <c r="U54" s="53"/>
      <c r="V54" s="2">
        <v>0.4</v>
      </c>
      <c r="W54" s="53"/>
      <c r="X54" s="175">
        <f>+ReddNetto</f>
        <v>0</v>
      </c>
      <c r="Y54" s="219"/>
      <c r="Z54" s="176"/>
      <c r="AA54" s="175">
        <f>ROUND(X54*V54%,2)</f>
        <v>0</v>
      </c>
      <c r="AB54" s="176"/>
      <c r="AC54" s="52" t="s">
        <v>25</v>
      </c>
      <c r="AD54" s="163" t="s">
        <v>26</v>
      </c>
      <c r="AE54" s="164"/>
      <c r="AF54" s="62"/>
      <c r="AI54" s="315"/>
      <c r="AJ54" s="139">
        <v>34700.01</v>
      </c>
      <c r="AK54" s="140"/>
      <c r="AL54" s="116">
        <v>30</v>
      </c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</row>
    <row r="55" spans="17:59" ht="12.75">
      <c r="Q55" s="282" t="s">
        <v>87</v>
      </c>
      <c r="R55" s="282"/>
      <c r="S55" s="84">
        <v>16</v>
      </c>
      <c r="T55" s="282" t="s">
        <v>88</v>
      </c>
      <c r="U55" s="282"/>
      <c r="V55" s="282"/>
      <c r="W55" s="282"/>
      <c r="X55" s="283" t="s">
        <v>89</v>
      </c>
      <c r="Y55" s="283"/>
      <c r="Z55" s="50" t="s">
        <v>79</v>
      </c>
      <c r="AA55" s="51"/>
      <c r="AB55" s="39">
        <f>ROUND(AA54*30%,2)</f>
        <v>0</v>
      </c>
      <c r="AC55" s="2">
        <v>10</v>
      </c>
      <c r="AD55" s="175">
        <f>ROUND(AB55/AC55,2)</f>
        <v>0</v>
      </c>
      <c r="AE55" s="176"/>
      <c r="AF55" s="62"/>
      <c r="AI55" s="315"/>
      <c r="AJ55" s="139">
        <v>35000.01</v>
      </c>
      <c r="AK55" s="140"/>
      <c r="AL55" s="116">
        <v>20</v>
      </c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</row>
    <row r="56" spans="17:59" ht="12.75">
      <c r="Q56" s="57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62"/>
      <c r="AI56" s="315"/>
      <c r="AJ56" s="139">
        <v>35100.01</v>
      </c>
      <c r="AK56" s="140"/>
      <c r="AL56" s="116">
        <v>10</v>
      </c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</row>
    <row r="57" spans="17:59" ht="12.75" customHeight="1" thickBot="1">
      <c r="Q57" s="57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62"/>
      <c r="AI57" s="315"/>
      <c r="AJ57" s="141">
        <v>35200.01</v>
      </c>
      <c r="AK57" s="142"/>
      <c r="AL57" s="117">
        <v>0</v>
      </c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</row>
    <row r="58" spans="17:59" ht="12.75">
      <c r="Q58" s="74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</row>
    <row r="59" spans="35:39" ht="12.75">
      <c r="AI59" t="s">
        <v>46</v>
      </c>
      <c r="AJ59" s="19" t="s">
        <v>47</v>
      </c>
      <c r="AK59" s="171" t="s">
        <v>52</v>
      </c>
      <c r="AL59" s="18" t="s">
        <v>48</v>
      </c>
      <c r="AM59" s="18" t="s">
        <v>53</v>
      </c>
    </row>
    <row r="60" spans="36:39" ht="12.75">
      <c r="AJ60" s="86">
        <v>95000</v>
      </c>
      <c r="AK60" s="171"/>
      <c r="AL60" s="106">
        <v>15000</v>
      </c>
      <c r="AM60" s="106">
        <f>IF(AK61&gt;1,ROUND((AK61-1)*AL60,2)+AJ60,AJ60)</f>
        <v>95000</v>
      </c>
    </row>
    <row r="61" spans="36:41" ht="12.75">
      <c r="AJ61" s="18" t="s">
        <v>55</v>
      </c>
      <c r="AK61" s="87">
        <f>+N_Fgl</f>
        <v>0</v>
      </c>
      <c r="AL61" s="18" t="s">
        <v>54</v>
      </c>
      <c r="AM61" s="18" t="s">
        <v>45</v>
      </c>
      <c r="AN61" s="18"/>
      <c r="AO61" s="18" t="s">
        <v>41</v>
      </c>
    </row>
    <row r="62" spans="35:44" ht="12.75">
      <c r="AI62" t="s">
        <v>51</v>
      </c>
      <c r="AJ62" s="106">
        <f>IF(Som_fg&gt;3,1000,800)</f>
        <v>800</v>
      </c>
      <c r="AL62" s="106">
        <f>ROUND(fgl*VLOOKUP($AO$62,IndRapp,2),2)</f>
        <v>0</v>
      </c>
      <c r="AM62" s="112">
        <v>0</v>
      </c>
      <c r="AN62" s="77">
        <v>0</v>
      </c>
      <c r="AO62" s="83">
        <f>ROUND((ImFisFin-Redd_Detraz)/ImFisFin,6)</f>
        <v>1</v>
      </c>
      <c r="AQ62" s="87">
        <f>+dsfig</f>
        <v>0</v>
      </c>
      <c r="AR62" s="87">
        <f>+AQ62</f>
        <v>0</v>
      </c>
    </row>
    <row r="63" spans="35:44" ht="12.75">
      <c r="AI63" t="s">
        <v>49</v>
      </c>
      <c r="AJ63" s="106">
        <f>IF(Som_fg&gt;3,1100,900)</f>
        <v>900</v>
      </c>
      <c r="AL63" s="106">
        <f>ROUND(AJ63*VLOOKUP($AO$62,IndRapp,2),2)</f>
        <v>0</v>
      </c>
      <c r="AM63" s="113">
        <v>0.0001</v>
      </c>
      <c r="AN63" s="77">
        <f>+AO62</f>
        <v>1</v>
      </c>
      <c r="AQ63" s="87">
        <f>+dsfg3</f>
        <v>0</v>
      </c>
      <c r="AR63" s="87">
        <f>+AQ63</f>
        <v>0</v>
      </c>
    </row>
    <row r="64" spans="35:44" ht="12.75">
      <c r="AI64" t="s">
        <v>50</v>
      </c>
      <c r="AJ64" s="106">
        <v>220</v>
      </c>
      <c r="AL64" s="106">
        <f>ROUND(fglh*VLOOKUP($AO$62,IndRapp,2),2)</f>
        <v>0</v>
      </c>
      <c r="AM64" s="110">
        <v>1</v>
      </c>
      <c r="AN64" s="77">
        <v>0</v>
      </c>
      <c r="AQ64" s="87">
        <f>+dsfhc</f>
        <v>0</v>
      </c>
      <c r="AR64" s="87">
        <f>+AQ64</f>
        <v>0</v>
      </c>
    </row>
    <row r="65" spans="38:40" ht="12.75">
      <c r="AL65" s="85"/>
      <c r="AM65" s="110">
        <v>10</v>
      </c>
      <c r="AN65" s="77">
        <f>+AO62</f>
        <v>1</v>
      </c>
    </row>
    <row r="66" spans="35:38" ht="12.75">
      <c r="AI66" t="s">
        <v>57</v>
      </c>
      <c r="AJ66" s="87">
        <v>750</v>
      </c>
      <c r="AL66" s="106">
        <f>ROUND(Altri*VLOOKUP(AO67,Rapp_Altri,2),4)</f>
        <v>0</v>
      </c>
    </row>
    <row r="67" ht="12.75">
      <c r="AO67" s="83">
        <f>TRUNC((80000-Redd_Detraz)/80000,6)</f>
        <v>1</v>
      </c>
    </row>
    <row r="68" spans="35:41" ht="12.75">
      <c r="AI68" t="s">
        <v>72</v>
      </c>
      <c r="AL68" t="s">
        <v>41</v>
      </c>
      <c r="AN68" s="131">
        <v>0</v>
      </c>
      <c r="AO68" s="87">
        <v>0</v>
      </c>
    </row>
    <row r="69" spans="35:41" ht="12.75">
      <c r="AI69" s="106">
        <v>1</v>
      </c>
      <c r="AJ69" s="106">
        <v>1840</v>
      </c>
      <c r="AL69" s="83">
        <f>IF(ROUND((15000-Redd_Detraz)/7000,6)&gt;0,ROUND((15000-Redd_Detraz)/7000,6),0)</f>
        <v>2.142857</v>
      </c>
      <c r="AN69" s="132">
        <v>0.0001</v>
      </c>
      <c r="AO69" s="133">
        <f>+AO67</f>
        <v>1</v>
      </c>
    </row>
    <row r="70" spans="35:41" ht="12.75">
      <c r="AI70" s="106">
        <v>8000.01</v>
      </c>
      <c r="AJ70" s="106">
        <f>1338+ROUND(502*AL69,2)</f>
        <v>2413.71</v>
      </c>
      <c r="AL70">
        <f>ROUND((55000-Redd_Detraz)/40000,6)</f>
        <v>1.375</v>
      </c>
      <c r="AN70" s="107">
        <v>1</v>
      </c>
      <c r="AO70" s="87">
        <v>0</v>
      </c>
    </row>
    <row r="71" spans="35:41" ht="12.75">
      <c r="AI71" s="106">
        <v>15000.01</v>
      </c>
      <c r="AJ71" s="106">
        <f>ROUND(1338*AL70,2)</f>
        <v>1839.75</v>
      </c>
      <c r="AN71" s="107">
        <v>10</v>
      </c>
      <c r="AO71" s="133">
        <f>+AO67</f>
        <v>1</v>
      </c>
    </row>
    <row r="72" spans="35:41" ht="12.75">
      <c r="AI72" s="106">
        <v>55000.01</v>
      </c>
      <c r="AJ72" s="106">
        <v>0</v>
      </c>
      <c r="AN72" s="12"/>
      <c r="AO72" s="83"/>
    </row>
    <row r="73" spans="35:36" ht="12.75">
      <c r="AI73" s="106">
        <v>100000000</v>
      </c>
      <c r="AJ73" s="106">
        <v>0</v>
      </c>
    </row>
    <row r="75" spans="35:36" ht="12.75">
      <c r="AI75" s="108">
        <v>0</v>
      </c>
      <c r="AJ75" s="87">
        <v>0</v>
      </c>
    </row>
    <row r="76" spans="35:36" ht="12.75">
      <c r="AI76" s="108">
        <v>23000.01</v>
      </c>
      <c r="AJ76" s="87">
        <v>10</v>
      </c>
    </row>
    <row r="77" spans="35:36" ht="12.75">
      <c r="AI77" s="108">
        <v>24000.01</v>
      </c>
      <c r="AJ77" s="87">
        <v>20</v>
      </c>
    </row>
    <row r="78" spans="35:36" ht="12.75">
      <c r="AI78" s="108">
        <v>25000.01</v>
      </c>
      <c r="AJ78" s="87">
        <v>30</v>
      </c>
    </row>
    <row r="79" spans="35:36" ht="12.75">
      <c r="AI79" s="108">
        <v>26000.01</v>
      </c>
      <c r="AJ79" s="87">
        <v>40</v>
      </c>
    </row>
    <row r="80" spans="35:36" ht="12.75">
      <c r="AI80" s="108">
        <v>27700.01</v>
      </c>
      <c r="AJ80" s="87">
        <v>25</v>
      </c>
    </row>
    <row r="81" spans="1:36" ht="12.75">
      <c r="A81" s="4"/>
      <c r="AI81" s="108">
        <v>28000.01</v>
      </c>
      <c r="AJ81" s="87">
        <v>0</v>
      </c>
    </row>
    <row r="111" ht="12.75">
      <c r="A111" s="4" t="s">
        <v>100</v>
      </c>
    </row>
    <row r="124" ht="12.75">
      <c r="A124" s="90"/>
    </row>
  </sheetData>
  <sheetProtection password="BE24" sheet="1" objects="1" scenarios="1" selectLockedCells="1"/>
  <mergeCells count="164">
    <mergeCell ref="O50:P50"/>
    <mergeCell ref="X12:AA12"/>
    <mergeCell ref="H11:K11"/>
    <mergeCell ref="X11:AA11"/>
    <mergeCell ref="O48:P48"/>
    <mergeCell ref="O49:P49"/>
    <mergeCell ref="A37:L37"/>
    <mergeCell ref="A38:L38"/>
    <mergeCell ref="H24:J24"/>
    <mergeCell ref="H12:K12"/>
    <mergeCell ref="E9:G9"/>
    <mergeCell ref="H9:K9"/>
    <mergeCell ref="E10:G10"/>
    <mergeCell ref="H10:K10"/>
    <mergeCell ref="M6:P6"/>
    <mergeCell ref="O47:P47"/>
    <mergeCell ref="A39:L39"/>
    <mergeCell ref="A40:P40"/>
    <mergeCell ref="A41:L41"/>
    <mergeCell ref="A42:P42"/>
    <mergeCell ref="A35:P35"/>
    <mergeCell ref="A36:P36"/>
    <mergeCell ref="E11:G11"/>
    <mergeCell ref="E12:G12"/>
    <mergeCell ref="A43:F43"/>
    <mergeCell ref="I43:L43"/>
    <mergeCell ref="K44:N44"/>
    <mergeCell ref="O46:P46"/>
    <mergeCell ref="A46:N46"/>
    <mergeCell ref="M25:O27"/>
    <mergeCell ref="B24:D24"/>
    <mergeCell ref="E24:G24"/>
    <mergeCell ref="P25:P27"/>
    <mergeCell ref="A33:C33"/>
    <mergeCell ref="K33:O34"/>
    <mergeCell ref="P33:P34"/>
    <mergeCell ref="M28:P29"/>
    <mergeCell ref="E13:G13"/>
    <mergeCell ref="E14:G14"/>
    <mergeCell ref="E15:G15"/>
    <mergeCell ref="H15:K15"/>
    <mergeCell ref="H14:K14"/>
    <mergeCell ref="H13:K13"/>
    <mergeCell ref="E8:G8"/>
    <mergeCell ref="H8:K8"/>
    <mergeCell ref="D5:I5"/>
    <mergeCell ref="J5:L5"/>
    <mergeCell ref="C6:G6"/>
    <mergeCell ref="A7:G7"/>
    <mergeCell ref="H7:L7"/>
    <mergeCell ref="A6:B6"/>
    <mergeCell ref="I6:K6"/>
    <mergeCell ref="N5:P5"/>
    <mergeCell ref="A1:P1"/>
    <mergeCell ref="A2:P2"/>
    <mergeCell ref="A3:P3"/>
    <mergeCell ref="J4:K4"/>
    <mergeCell ref="B4:G4"/>
    <mergeCell ref="Q1:AF1"/>
    <mergeCell ref="Q2:AF2"/>
    <mergeCell ref="AF33:AF34"/>
    <mergeCell ref="U15:W15"/>
    <mergeCell ref="Q7:W7"/>
    <mergeCell ref="Q6:S6"/>
    <mergeCell ref="Q20:AF20"/>
    <mergeCell ref="U10:W10"/>
    <mergeCell ref="U11:W11"/>
    <mergeCell ref="U12:W12"/>
    <mergeCell ref="AH36:AH37"/>
    <mergeCell ref="AH40:AH41"/>
    <mergeCell ref="AI1:AL1"/>
    <mergeCell ref="AI12:AM12"/>
    <mergeCell ref="AI19:AI57"/>
    <mergeCell ref="AJ19:AJ37"/>
    <mergeCell ref="AJ39:AJ42"/>
    <mergeCell ref="Q3:AF3"/>
    <mergeCell ref="T5:Y5"/>
    <mergeCell ref="Z5:AB5"/>
    <mergeCell ref="AK59:AK60"/>
    <mergeCell ref="Q40:AF40"/>
    <mergeCell ref="AA54:AB54"/>
    <mergeCell ref="AE49:AF49"/>
    <mergeCell ref="AE47:AF47"/>
    <mergeCell ref="AA52:AB52"/>
    <mergeCell ref="AD53:AE53"/>
    <mergeCell ref="AD55:AE55"/>
    <mergeCell ref="AD54:AE54"/>
    <mergeCell ref="Q42:AF42"/>
    <mergeCell ref="Q52:T52"/>
    <mergeCell ref="AA53:AB53"/>
    <mergeCell ref="X53:Z53"/>
    <mergeCell ref="U52:W52"/>
    <mergeCell ref="Q53:T53"/>
    <mergeCell ref="Q54:T54"/>
    <mergeCell ref="Q55:R55"/>
    <mergeCell ref="AC25:AE27"/>
    <mergeCell ref="AA33:AE34"/>
    <mergeCell ref="AD52:AE52"/>
    <mergeCell ref="AE48:AF48"/>
    <mergeCell ref="AE46:AF46"/>
    <mergeCell ref="Y43:AB43"/>
    <mergeCell ref="AA44:AD44"/>
    <mergeCell ref="X52:Z52"/>
    <mergeCell ref="Q33:S33"/>
    <mergeCell ref="Q21:S21"/>
    <mergeCell ref="Q43:V43"/>
    <mergeCell ref="Q39:AB39"/>
    <mergeCell ref="Q36:AF36"/>
    <mergeCell ref="AF25:AF27"/>
    <mergeCell ref="R24:T24"/>
    <mergeCell ref="U24:W24"/>
    <mergeCell ref="X24:Z24"/>
    <mergeCell ref="Q35:AF35"/>
    <mergeCell ref="T55:W55"/>
    <mergeCell ref="X55:Y55"/>
    <mergeCell ref="X14:AA14"/>
    <mergeCell ref="U13:W13"/>
    <mergeCell ref="X13:AA13"/>
    <mergeCell ref="X17:AA17"/>
    <mergeCell ref="X54:Z54"/>
    <mergeCell ref="U17:W17"/>
    <mergeCell ref="Q41:AB41"/>
    <mergeCell ref="Q38:AB38"/>
    <mergeCell ref="AU1:AW2"/>
    <mergeCell ref="AU21:AW25"/>
    <mergeCell ref="AU4:AW4"/>
    <mergeCell ref="AU5:AW5"/>
    <mergeCell ref="AU3:AW3"/>
    <mergeCell ref="X15:AA15"/>
    <mergeCell ref="U9:W9"/>
    <mergeCell ref="X7:AB7"/>
    <mergeCell ref="X9:AA9"/>
    <mergeCell ref="X10:AA10"/>
    <mergeCell ref="U8:W8"/>
    <mergeCell ref="X8:AA8"/>
    <mergeCell ref="Z4:AA4"/>
    <mergeCell ref="V6:Z6"/>
    <mergeCell ref="AB6:AC6"/>
    <mergeCell ref="T6:U6"/>
    <mergeCell ref="AD5:AF5"/>
    <mergeCell ref="AU30:AW38"/>
    <mergeCell ref="A15:D15"/>
    <mergeCell ref="A14:D14"/>
    <mergeCell ref="U14:W14"/>
    <mergeCell ref="E17:G17"/>
    <mergeCell ref="A20:P20"/>
    <mergeCell ref="X16:AA16"/>
    <mergeCell ref="A21:C21"/>
    <mergeCell ref="AC16:AD16"/>
    <mergeCell ref="A47:N47"/>
    <mergeCell ref="Q16:T16"/>
    <mergeCell ref="U16:W16"/>
    <mergeCell ref="H17:K17"/>
    <mergeCell ref="H16:K16"/>
    <mergeCell ref="A16:D16"/>
    <mergeCell ref="E16:G16"/>
    <mergeCell ref="H18:K18"/>
    <mergeCell ref="A17:D17"/>
    <mergeCell ref="Q37:AB37"/>
    <mergeCell ref="A48:N48"/>
    <mergeCell ref="A49:N49"/>
    <mergeCell ref="A50:D50"/>
    <mergeCell ref="E50:F50"/>
    <mergeCell ref="K50:N50"/>
  </mergeCells>
  <conditionalFormatting sqref="Z27">
    <cfRule type="expression" priority="1" dxfId="0" stopIfTrue="1">
      <formula>$T$23&gt;2</formula>
    </cfRule>
  </conditionalFormatting>
  <conditionalFormatting sqref="Z28">
    <cfRule type="expression" priority="2" dxfId="0" stopIfTrue="1">
      <formula>$T$23&gt;3</formula>
    </cfRule>
  </conditionalFormatting>
  <conditionalFormatting sqref="Z29">
    <cfRule type="expression" priority="3" dxfId="0" stopIfTrue="1">
      <formula>$T$23&gt;4</formula>
    </cfRule>
  </conditionalFormatting>
  <conditionalFormatting sqref="Z30">
    <cfRule type="expression" priority="4" dxfId="0" stopIfTrue="1">
      <formula>$T$23&gt;5</formula>
    </cfRule>
  </conditionalFormatting>
  <conditionalFormatting sqref="Z31">
    <cfRule type="expression" priority="5" dxfId="0" stopIfTrue="1">
      <formula>$T$23&gt;6</formula>
    </cfRule>
  </conditionalFormatting>
  <conditionalFormatting sqref="AB25">
    <cfRule type="expression" priority="6" dxfId="1" stopIfTrue="1">
      <formula>$T$23&gt;0</formula>
    </cfRule>
  </conditionalFormatting>
  <conditionalFormatting sqref="AB26">
    <cfRule type="expression" priority="7" dxfId="1" stopIfTrue="1">
      <formula>$T$23&gt;1</formula>
    </cfRule>
  </conditionalFormatting>
  <conditionalFormatting sqref="AB27">
    <cfRule type="expression" priority="8" dxfId="1" stopIfTrue="1">
      <formula>$T$23&gt;2</formula>
    </cfRule>
  </conditionalFormatting>
  <conditionalFormatting sqref="AB28">
    <cfRule type="expression" priority="9" dxfId="1" stopIfTrue="1">
      <formula>$T$23&gt;3</formula>
    </cfRule>
  </conditionalFormatting>
  <conditionalFormatting sqref="AB29">
    <cfRule type="expression" priority="10" dxfId="1" stopIfTrue="1">
      <formula>$T$23&gt;4</formula>
    </cfRule>
  </conditionalFormatting>
  <conditionalFormatting sqref="AB30">
    <cfRule type="expression" priority="11" dxfId="1" stopIfTrue="1">
      <formula>$T$23&gt;5</formula>
    </cfRule>
  </conditionalFormatting>
  <conditionalFormatting sqref="AB31">
    <cfRule type="expression" priority="12" dxfId="1" stopIfTrue="1">
      <formula>$T$23&gt;6</formula>
    </cfRule>
  </conditionalFormatting>
  <conditionalFormatting sqref="Q26">
    <cfRule type="expression" priority="13" dxfId="2" stopIfTrue="1">
      <formula>$T$23&gt;1</formula>
    </cfRule>
  </conditionalFormatting>
  <conditionalFormatting sqref="Q25 T25 W25 Z25 G25 D25">
    <cfRule type="expression" priority="14" dxfId="2" stopIfTrue="1">
      <formula>$T$23&gt;0</formula>
    </cfRule>
  </conditionalFormatting>
  <conditionalFormatting sqref="R25 J25:K25">
    <cfRule type="expression" priority="15" dxfId="3" stopIfTrue="1">
      <formula>$T$23&gt;0</formula>
    </cfRule>
  </conditionalFormatting>
  <conditionalFormatting sqref="U25 X25 E25 H25">
    <cfRule type="expression" priority="16" dxfId="4" stopIfTrue="1">
      <formula>$T$23&gt;0</formula>
    </cfRule>
  </conditionalFormatting>
  <conditionalFormatting sqref="Y21">
    <cfRule type="expression" priority="17" dxfId="5" stopIfTrue="1">
      <formula>$T$21="si"</formula>
    </cfRule>
  </conditionalFormatting>
  <conditionalFormatting sqref="AD23 AA25 C25 F25 I25 V25:V31 S25:S31 Y25:Y31">
    <cfRule type="expression" priority="18" dxfId="5" stopIfTrue="1">
      <formula>$T$23&gt;0</formula>
    </cfRule>
  </conditionalFormatting>
  <conditionalFormatting sqref="AF23">
    <cfRule type="expression" priority="19" dxfId="5" stopIfTrue="1">
      <formula>$AD$23&gt;0</formula>
    </cfRule>
  </conditionalFormatting>
  <conditionalFormatting sqref="F26 C26 I26 AA26">
    <cfRule type="expression" priority="20" dxfId="5" stopIfTrue="1">
      <formula>$T$23&gt;1</formula>
    </cfRule>
  </conditionalFormatting>
  <conditionalFormatting sqref="F27 C27 I27 AA27">
    <cfRule type="expression" priority="21" dxfId="5" stopIfTrue="1">
      <formula>$T$23&gt;2</formula>
    </cfRule>
  </conditionalFormatting>
  <conditionalFormatting sqref="F28 C28 I28 AA28">
    <cfRule type="expression" priority="22" dxfId="5" stopIfTrue="1">
      <formula>$T$23&gt;3</formula>
    </cfRule>
  </conditionalFormatting>
  <conditionalFormatting sqref="F29 C29 I29 AA29">
    <cfRule type="expression" priority="23" dxfId="5" stopIfTrue="1">
      <formula>$T$23&gt;4</formula>
    </cfRule>
  </conditionalFormatting>
  <conditionalFormatting sqref="AA30">
    <cfRule type="expression" priority="24" dxfId="5" stopIfTrue="1">
      <formula>$T$23&gt;5</formula>
    </cfRule>
  </conditionalFormatting>
  <conditionalFormatting sqref="AA31">
    <cfRule type="expression" priority="25" dxfId="5" stopIfTrue="1">
      <formula>$T$23&gt;6</formula>
    </cfRule>
  </conditionalFormatting>
  <conditionalFormatting sqref="Y34">
    <cfRule type="expression" priority="26" dxfId="5" stopIfTrue="1">
      <formula>$T$33="si"</formula>
    </cfRule>
  </conditionalFormatting>
  <conditionalFormatting sqref="Y33 AF33:AF34 P33:P34">
    <cfRule type="expression" priority="27" dxfId="5" stopIfTrue="1">
      <formula>$T$33&gt;0</formula>
    </cfRule>
  </conditionalFormatting>
  <conditionalFormatting sqref="AA33:AE34 K33:O34">
    <cfRule type="expression" priority="28" dxfId="1" stopIfTrue="1">
      <formula>$T$33&gt;0</formula>
    </cfRule>
  </conditionalFormatting>
  <conditionalFormatting sqref="R26 T26:U26 W26:X26 Z26 G26:H26 D26:E26 J26:K26">
    <cfRule type="expression" priority="29" dxfId="3" stopIfTrue="1">
      <formula>$T$23&gt;1</formula>
    </cfRule>
  </conditionalFormatting>
  <conditionalFormatting sqref="R27 T27:U27 W27:X27 G27:H27 D27:E27 J27:K27">
    <cfRule type="expression" priority="30" dxfId="3" stopIfTrue="1">
      <formula>$T$23&gt;2</formula>
    </cfRule>
  </conditionalFormatting>
  <conditionalFormatting sqref="Q27">
    <cfRule type="expression" priority="31" dxfId="2" stopIfTrue="1">
      <formula>$T$23&gt;2</formula>
    </cfRule>
  </conditionalFormatting>
  <conditionalFormatting sqref="Q28">
    <cfRule type="expression" priority="32" dxfId="2" stopIfTrue="1">
      <formula>$T$23&gt;3</formula>
    </cfRule>
  </conditionalFormatting>
  <conditionalFormatting sqref="R28 T28:U28 W28:X28 G28:H28 D28:E28 J28:K28">
    <cfRule type="expression" priority="33" dxfId="3" stopIfTrue="1">
      <formula>$T$23&gt;3</formula>
    </cfRule>
  </conditionalFormatting>
  <conditionalFormatting sqref="Q29">
    <cfRule type="expression" priority="34" dxfId="2" stopIfTrue="1">
      <formula>$T$23&gt;4</formula>
    </cfRule>
  </conditionalFormatting>
  <conditionalFormatting sqref="R29 T29:U29 W29:X29 G29:H29 D29:E29 J29:K29">
    <cfRule type="expression" priority="35" dxfId="3" stopIfTrue="1">
      <formula>$T$23&gt;4</formula>
    </cfRule>
  </conditionalFormatting>
  <conditionalFormatting sqref="Q30">
    <cfRule type="expression" priority="36" dxfId="2" stopIfTrue="1">
      <formula>$T$23&gt;5</formula>
    </cfRule>
  </conditionalFormatting>
  <conditionalFormatting sqref="R30 T30:U30 W30:X30">
    <cfRule type="expression" priority="37" dxfId="3" stopIfTrue="1">
      <formula>$T$23&gt;5</formula>
    </cfRule>
  </conditionalFormatting>
  <conditionalFormatting sqref="Q31">
    <cfRule type="expression" priority="38" dxfId="2" stopIfTrue="1">
      <formula>$T$23&gt;6</formula>
    </cfRule>
  </conditionalFormatting>
  <conditionalFormatting sqref="R31 T31:U31 W31:X31">
    <cfRule type="expression" priority="39" dxfId="3" stopIfTrue="1">
      <formula>$T$23&gt;6</formula>
    </cfRule>
  </conditionalFormatting>
  <conditionalFormatting sqref="L25">
    <cfRule type="expression" priority="40" dxfId="1" stopIfTrue="1">
      <formula>$D$23&gt;0</formula>
    </cfRule>
  </conditionalFormatting>
  <conditionalFormatting sqref="N23">
    <cfRule type="expression" priority="41" dxfId="5" stopIfTrue="1">
      <formula>$D$23&gt;0</formula>
    </cfRule>
  </conditionalFormatting>
  <conditionalFormatting sqref="C30 F30 I30">
    <cfRule type="expression" priority="42" dxfId="5" stopIfTrue="1">
      <formula>$D$23&gt;5</formula>
    </cfRule>
  </conditionalFormatting>
  <conditionalFormatting sqref="C31 F31 I31">
    <cfRule type="expression" priority="43" dxfId="5" stopIfTrue="1">
      <formula>$D$23&gt;6</formula>
    </cfRule>
  </conditionalFormatting>
  <conditionalFormatting sqref="I34">
    <cfRule type="expression" priority="44" dxfId="5" stopIfTrue="1">
      <formula>$D$33="si"</formula>
    </cfRule>
  </conditionalFormatting>
  <conditionalFormatting sqref="A30">
    <cfRule type="expression" priority="45" dxfId="2" stopIfTrue="1">
      <formula>$D$23&gt;5</formula>
    </cfRule>
  </conditionalFormatting>
  <conditionalFormatting sqref="G30:H30 D30:E30 B30 J30:K30">
    <cfRule type="expression" priority="46" dxfId="3" stopIfTrue="1">
      <formula>$D$23&gt;5</formula>
    </cfRule>
  </conditionalFormatting>
  <conditionalFormatting sqref="A31">
    <cfRule type="expression" priority="47" dxfId="2" stopIfTrue="1">
      <formula>$D$23&gt;6</formula>
    </cfRule>
  </conditionalFormatting>
  <conditionalFormatting sqref="G31:H31 D31:E31 B31 J31:K31">
    <cfRule type="expression" priority="48" dxfId="3" stopIfTrue="1">
      <formula>$D$23&gt;6</formula>
    </cfRule>
  </conditionalFormatting>
  <conditionalFormatting sqref="A26">
    <cfRule type="expression" priority="49" dxfId="2" stopIfTrue="1">
      <formula>$D$23&gt;1</formula>
    </cfRule>
  </conditionalFormatting>
  <conditionalFormatting sqref="A25">
    <cfRule type="expression" priority="50" dxfId="2" stopIfTrue="1">
      <formula>$D$23&gt;0</formula>
    </cfRule>
  </conditionalFormatting>
  <conditionalFormatting sqref="B25">
    <cfRule type="expression" priority="51" dxfId="3" stopIfTrue="1">
      <formula>$D$23&gt;0</formula>
    </cfRule>
  </conditionalFormatting>
  <conditionalFormatting sqref="B26">
    <cfRule type="expression" priority="52" dxfId="3" stopIfTrue="1">
      <formula>$D$23&gt;1</formula>
    </cfRule>
  </conditionalFormatting>
  <conditionalFormatting sqref="B27">
    <cfRule type="expression" priority="53" dxfId="3" stopIfTrue="1">
      <formula>$D$23&gt;2</formula>
    </cfRule>
  </conditionalFormatting>
  <conditionalFormatting sqref="A27">
    <cfRule type="expression" priority="54" dxfId="2" stopIfTrue="1">
      <formula>$D$23&gt;2</formula>
    </cfRule>
  </conditionalFormatting>
  <conditionalFormatting sqref="A28">
    <cfRule type="expression" priority="55" dxfId="2" stopIfTrue="1">
      <formula>$D$23&gt;3</formula>
    </cfRule>
  </conditionalFormatting>
  <conditionalFormatting sqref="B28">
    <cfRule type="expression" priority="56" dxfId="3" stopIfTrue="1">
      <formula>$D$23&gt;3</formula>
    </cfRule>
  </conditionalFormatting>
  <conditionalFormatting sqref="A29">
    <cfRule type="expression" priority="57" dxfId="2" stopIfTrue="1">
      <formula>$D$23&gt;4</formula>
    </cfRule>
  </conditionalFormatting>
  <conditionalFormatting sqref="B29">
    <cfRule type="expression" priority="58" dxfId="3" stopIfTrue="1">
      <formula>$D$23&gt;4</formula>
    </cfRule>
  </conditionalFormatting>
  <conditionalFormatting sqref="L27">
    <cfRule type="expression" priority="59" dxfId="1" stopIfTrue="1">
      <formula>$D$23&gt;2</formula>
    </cfRule>
  </conditionalFormatting>
  <conditionalFormatting sqref="L28">
    <cfRule type="expression" priority="60" dxfId="1" stopIfTrue="1">
      <formula>$D$23&gt;3</formula>
    </cfRule>
  </conditionalFormatting>
  <conditionalFormatting sqref="L29">
    <cfRule type="expression" priority="61" dxfId="1" stopIfTrue="1">
      <formula>$D$23&gt;4</formula>
    </cfRule>
  </conditionalFormatting>
  <conditionalFormatting sqref="L30">
    <cfRule type="expression" priority="62" dxfId="1" stopIfTrue="1">
      <formula>$D$23&gt;5</formula>
    </cfRule>
  </conditionalFormatting>
  <conditionalFormatting sqref="L31">
    <cfRule type="expression" priority="63" dxfId="1" stopIfTrue="1">
      <formula>$D$23&gt;6</formula>
    </cfRule>
  </conditionalFormatting>
  <conditionalFormatting sqref="L26">
    <cfRule type="expression" priority="64" dxfId="1" stopIfTrue="1">
      <formula>$D$23&gt;1</formula>
    </cfRule>
  </conditionalFormatting>
  <printOptions/>
  <pageMargins left="0.1968503937007874" right="0" top="0.984251968503937" bottom="0.5905511811023623" header="0.5118110236220472" footer="0.5118110236220472"/>
  <pageSetup blackAndWhite="1" horizontalDpi="360" verticalDpi="360" orientation="portrait" paperSize="9" scale="90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2"/>
  <dimension ref="A1:AR81"/>
  <sheetViews>
    <sheetView workbookViewId="0" topLeftCell="A1">
      <selection activeCell="M43" sqref="M43"/>
    </sheetView>
  </sheetViews>
  <sheetFormatPr defaultColWidth="9.33203125" defaultRowHeight="12.75"/>
  <cols>
    <col min="1" max="1" width="15.5" style="0" customWidth="1"/>
    <col min="2" max="10" width="4.83203125" style="0" customWidth="1"/>
    <col min="11" max="11" width="11.66015625" style="0" bestFit="1" customWidth="1"/>
    <col min="12" max="13" width="11.83203125" style="0" customWidth="1"/>
    <col min="14" max="14" width="4.83203125" style="0" customWidth="1"/>
    <col min="15" max="15" width="12.83203125" style="0" customWidth="1"/>
    <col min="16" max="16" width="12" style="0" customWidth="1"/>
    <col min="17" max="17" width="5.16015625" style="0" hidden="1" customWidth="1"/>
    <col min="18" max="18" width="10.5" style="0" hidden="1" customWidth="1"/>
    <col min="19" max="19" width="15.16015625" style="0" hidden="1" customWidth="1"/>
    <col min="20" max="20" width="16.83203125" style="0" hidden="1" customWidth="1"/>
    <col min="21" max="21" width="6.66015625" style="0" hidden="1" customWidth="1"/>
    <col min="22" max="22" width="12.83203125" style="0" hidden="1" customWidth="1"/>
    <col min="23" max="23" width="11.5" style="0" hidden="1" customWidth="1"/>
    <col min="24" max="29" width="9.33203125" style="0" hidden="1" customWidth="1"/>
    <col min="30" max="30" width="1.5" style="0" customWidth="1"/>
    <col min="31" max="31" width="15.66015625" style="0" bestFit="1" customWidth="1"/>
    <col min="33" max="33" width="13.66015625" style="0" customWidth="1"/>
    <col min="34" max="34" width="4.66015625" style="0" customWidth="1"/>
    <col min="35" max="35" width="14.66015625" style="0" bestFit="1" customWidth="1"/>
  </cols>
  <sheetData>
    <row r="1" spans="1:44" ht="16.5" thickTop="1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3"/>
      <c r="Q1" s="378"/>
      <c r="R1" s="379"/>
      <c r="S1" s="374" t="s">
        <v>29</v>
      </c>
      <c r="T1" s="185"/>
      <c r="U1" s="185"/>
      <c r="V1" s="185"/>
      <c r="W1" t="s">
        <v>68</v>
      </c>
      <c r="AD1" s="77"/>
      <c r="AE1" s="247" t="s">
        <v>97</v>
      </c>
      <c r="AF1" s="248"/>
      <c r="AG1" s="249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</row>
    <row r="2" spans="1:44" ht="15.75">
      <c r="A2" s="350" t="str">
        <f>+Gen!A2</f>
        <v>TRIBUNALE DI TERMINI IMERESE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2"/>
      <c r="Q2" s="378"/>
      <c r="R2" s="379"/>
      <c r="S2" s="375" t="s">
        <v>30</v>
      </c>
      <c r="T2" s="5" t="s">
        <v>31</v>
      </c>
      <c r="U2" s="6" t="s">
        <v>18</v>
      </c>
      <c r="V2" s="5" t="s">
        <v>37</v>
      </c>
      <c r="AD2" s="77"/>
      <c r="AE2" s="250"/>
      <c r="AF2" s="251"/>
      <c r="AG2" s="252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</row>
    <row r="3" spans="1:44" ht="15.75">
      <c r="A3" s="207" t="s">
        <v>85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9"/>
      <c r="Q3" s="378"/>
      <c r="R3" s="379"/>
      <c r="S3" s="376">
        <v>1</v>
      </c>
      <c r="T3" s="7">
        <f>+Aliquote!C6</f>
        <v>15000</v>
      </c>
      <c r="U3" s="8">
        <f>+Aliquote!D6</f>
        <v>0.23</v>
      </c>
      <c r="V3" s="9"/>
      <c r="AD3" s="77"/>
      <c r="AE3" s="268"/>
      <c r="AF3" s="269"/>
      <c r="AG3" s="270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</row>
    <row r="4" spans="1:44" ht="12.75" customHeight="1">
      <c r="A4" s="150" t="s">
        <v>138</v>
      </c>
      <c r="B4" s="163" t="str">
        <f>IF(Gen!B4&gt;0,Gen!B4,Vuota1)</f>
        <v>        </v>
      </c>
      <c r="C4" s="154"/>
      <c r="D4" s="154"/>
      <c r="E4" s="154"/>
      <c r="F4" s="154"/>
      <c r="G4" s="164"/>
      <c r="H4" s="58"/>
      <c r="I4" s="58"/>
      <c r="J4" s="291"/>
      <c r="K4" s="291"/>
      <c r="L4" s="149">
        <f>IF(Gen!L4&gt;0,Gen!L4,Vuota1)</f>
        <v>2007</v>
      </c>
      <c r="M4" s="361" t="s">
        <v>130</v>
      </c>
      <c r="N4" s="362"/>
      <c r="O4" s="362"/>
      <c r="P4" s="363"/>
      <c r="Q4" s="378"/>
      <c r="R4" s="379"/>
      <c r="S4" s="376">
        <f>+T3+0.01</f>
        <v>15000.01</v>
      </c>
      <c r="T4" s="7">
        <f>+Aliquote!C7</f>
        <v>28000</v>
      </c>
      <c r="U4" s="8">
        <f>+Aliquote!D7</f>
        <v>0.27</v>
      </c>
      <c r="V4" s="7">
        <f>ROUND(S4*U3,2)</f>
        <v>3450</v>
      </c>
      <c r="AD4" s="77"/>
      <c r="AE4" s="262" t="s">
        <v>81</v>
      </c>
      <c r="AF4" s="263"/>
      <c r="AG4" s="264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</row>
    <row r="5" spans="1:44" ht="16.5" thickBot="1">
      <c r="A5" s="59" t="s">
        <v>3</v>
      </c>
      <c r="B5" s="60"/>
      <c r="C5" s="52" t="str">
        <f>IF(Gen!C5&gt;0,Gen!C5,Vuota1)</f>
        <v>C1</v>
      </c>
      <c r="D5" s="347" t="str">
        <f>IF(Gen!D5&gt;0,Gen!D5,Vuota1)</f>
        <v>        </v>
      </c>
      <c r="E5" s="348" t="e">
        <f>IF(#REF!&gt;0,#REF!,Vuota1)</f>
        <v>#REF!</v>
      </c>
      <c r="F5" s="348" t="e">
        <f>IF(#REF!&gt;0,#REF!,Vuota1)</f>
        <v>#REF!</v>
      </c>
      <c r="G5" s="348" t="e">
        <f>IF(#REF!&gt;0,#REF!,Vuota1)</f>
        <v>#REF!</v>
      </c>
      <c r="H5" s="348" t="e">
        <f>IF(#REF!&gt;0,#REF!,Vuota1)</f>
        <v>#REF!</v>
      </c>
      <c r="I5" s="348" t="e">
        <f>IF(#REF!&gt;0,#REF!,Vuota1)</f>
        <v>#REF!</v>
      </c>
      <c r="J5" s="348" t="str">
        <f>IF(Gen!J5&gt;0,Gen!J5,Vuota1)</f>
        <v>        </v>
      </c>
      <c r="K5" s="348" t="e">
        <f>IF(#REF!&gt;0,#REF!,Vuota1)</f>
        <v>#REF!</v>
      </c>
      <c r="L5" s="349" t="e">
        <f>IF(#REF!&gt;0,#REF!,Vuota1)</f>
        <v>#REF!</v>
      </c>
      <c r="M5" s="61" t="s">
        <v>5</v>
      </c>
      <c r="N5" s="163" t="str">
        <f>IF(Gen!N5&gt;0,Gen!N5,Vuota1)</f>
        <v>        </v>
      </c>
      <c r="O5" s="154" t="e">
        <f>IF(#REF!&gt;0,#REF!,Vuota1)</f>
        <v>#REF!</v>
      </c>
      <c r="P5" s="164" t="e">
        <f>IF(#REF!&gt;0,#REF!,Vuota1)</f>
        <v>#REF!</v>
      </c>
      <c r="Q5" s="378"/>
      <c r="R5" s="380"/>
      <c r="S5" s="376">
        <f>+T4+0.01</f>
        <v>28000.01</v>
      </c>
      <c r="T5" s="7">
        <f>+Aliquote!C8</f>
        <v>55000</v>
      </c>
      <c r="U5" s="8">
        <f>+Aliquote!D8</f>
        <v>0.38</v>
      </c>
      <c r="V5" s="7">
        <f>ROUND((S5-S4)*U4,2)+V4</f>
        <v>6960</v>
      </c>
      <c r="AD5" s="77"/>
      <c r="AE5" s="265" t="s">
        <v>82</v>
      </c>
      <c r="AF5" s="266"/>
      <c r="AG5" s="26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</row>
    <row r="6" spans="1:44" ht="12.75" customHeight="1" thickTop="1">
      <c r="A6" s="271" t="s">
        <v>6</v>
      </c>
      <c r="B6" s="272"/>
      <c r="C6" s="163" t="str">
        <f>IF(Gen!C6&gt;0,Gen!C6,Vuota1)</f>
        <v>        </v>
      </c>
      <c r="D6" s="213" t="e">
        <f>IF(#REF!&gt;0,#REF!,Vuota1)</f>
        <v>#REF!</v>
      </c>
      <c r="E6" s="213" t="e">
        <f>IF(#REF!&gt;0,#REF!,Vuota1)</f>
        <v>#REF!</v>
      </c>
      <c r="F6" s="213" t="e">
        <f>IF(#REF!&gt;0,#REF!,Vuota1)</f>
        <v>#REF!</v>
      </c>
      <c r="G6" s="359" t="e">
        <f>IF(#REF!&gt;0,#REF!,Vuota1)</f>
        <v>#REF!</v>
      </c>
      <c r="H6" s="60" t="s">
        <v>7</v>
      </c>
      <c r="I6" s="353" t="str">
        <f>IF(Gen!I6&gt;0,Gen!I6,Vuota1)</f>
        <v>        </v>
      </c>
      <c r="J6" s="354" t="e">
        <f>IF(#REF!&gt;0,#REF!,Vuota1)</f>
        <v>#REF!</v>
      </c>
      <c r="K6" s="355" t="e">
        <f>IF(#REF!&gt;0,#REF!,Vuota1)</f>
        <v>#REF!</v>
      </c>
      <c r="L6" s="48" t="s">
        <v>90</v>
      </c>
      <c r="M6" s="356" t="str">
        <f>IF(Gen!M6&gt;0,Gen!M6,Vuota1)</f>
        <v>        </v>
      </c>
      <c r="N6" s="357" t="e">
        <f>IF(#REF!&gt;0,#REF!,Vuota1)</f>
        <v>#REF!</v>
      </c>
      <c r="O6" s="357" t="e">
        <f>IF(#REF!&gt;0,#REF!,Vuota1)</f>
        <v>#REF!</v>
      </c>
      <c r="P6" s="358" t="e">
        <f>IF(#REF!&gt;0,#REF!,Vuota1)</f>
        <v>#REF!</v>
      </c>
      <c r="Q6" s="378"/>
      <c r="R6" s="380"/>
      <c r="S6" s="376">
        <f>+T5+0.01</f>
        <v>55000.01</v>
      </c>
      <c r="T6" s="7">
        <f>+Aliquote!C9</f>
        <v>75000</v>
      </c>
      <c r="U6" s="8">
        <f>+Aliquote!D9</f>
        <v>0.41</v>
      </c>
      <c r="V6" s="7">
        <f>ROUND((S6-S5)*U5,2)+V5</f>
        <v>17220</v>
      </c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</row>
    <row r="7" spans="1:44" ht="12.75" customHeight="1" thickBot="1">
      <c r="A7" s="239" t="s">
        <v>8</v>
      </c>
      <c r="B7" s="240"/>
      <c r="C7" s="240"/>
      <c r="D7" s="240"/>
      <c r="E7" s="240"/>
      <c r="F7" s="240"/>
      <c r="G7" s="240"/>
      <c r="H7" s="158" t="s">
        <v>9</v>
      </c>
      <c r="I7" s="158"/>
      <c r="J7" s="158"/>
      <c r="K7" s="158"/>
      <c r="L7" s="158"/>
      <c r="M7" s="20"/>
      <c r="N7" s="20"/>
      <c r="O7" s="20"/>
      <c r="P7" s="62"/>
      <c r="Q7" s="378"/>
      <c r="R7" s="380"/>
      <c r="S7" s="376">
        <f>+T6+0.01</f>
        <v>75000.01</v>
      </c>
      <c r="T7" s="7">
        <v>1000000</v>
      </c>
      <c r="U7" s="8">
        <f>+Aliquote!D10</f>
        <v>0.43</v>
      </c>
      <c r="V7" s="7">
        <f>ROUND((S7-S6)*U6,2)+V6</f>
        <v>25420</v>
      </c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</row>
    <row r="8" spans="1:44" ht="12.75">
      <c r="A8" s="27" t="s">
        <v>78</v>
      </c>
      <c r="B8" s="29"/>
      <c r="C8" s="29"/>
      <c r="D8" s="23"/>
      <c r="E8" s="175">
        <f>SUM(Gen:Dic!E8)</f>
        <v>0</v>
      </c>
      <c r="F8" s="219"/>
      <c r="G8" s="176"/>
      <c r="H8" s="273" t="s">
        <v>10</v>
      </c>
      <c r="I8" s="274"/>
      <c r="J8" s="274"/>
      <c r="K8" s="275"/>
      <c r="L8" s="385">
        <f>SUM(Gen:Dic!L8)</f>
        <v>0</v>
      </c>
      <c r="M8" s="407" t="s">
        <v>132</v>
      </c>
      <c r="N8" s="408"/>
      <c r="O8" s="408"/>
      <c r="P8" s="409"/>
      <c r="S8" s="377">
        <v>1000000.01</v>
      </c>
      <c r="T8" s="10">
        <v>2000000</v>
      </c>
      <c r="U8" s="11">
        <f>+U7</f>
        <v>0.43</v>
      </c>
      <c r="V8" s="10">
        <f>ROUND((S8-S7)*U7,2)+V7</f>
        <v>423170</v>
      </c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</row>
    <row r="9" spans="1:44" ht="12.75">
      <c r="A9" s="27" t="s">
        <v>11</v>
      </c>
      <c r="B9" s="29"/>
      <c r="C9" s="29"/>
      <c r="D9" s="23"/>
      <c r="E9" s="175">
        <f>SUM(Gen:Dic!E9)</f>
        <v>0</v>
      </c>
      <c r="F9" s="219"/>
      <c r="G9" s="176"/>
      <c r="H9" s="198" t="s">
        <v>111</v>
      </c>
      <c r="I9" s="199"/>
      <c r="J9" s="199"/>
      <c r="K9" s="200"/>
      <c r="L9" s="385">
        <f>SUM(Gen:Dic!L9)</f>
        <v>0</v>
      </c>
      <c r="M9" s="386" t="s">
        <v>133</v>
      </c>
      <c r="N9" s="370"/>
      <c r="O9" s="370"/>
      <c r="P9" s="396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</row>
    <row r="10" spans="1:44" ht="12.75">
      <c r="A10" s="27" t="s">
        <v>12</v>
      </c>
      <c r="B10" s="29"/>
      <c r="C10" s="29"/>
      <c r="D10" s="23"/>
      <c r="E10" s="175">
        <f>SUM(Gen:Dic!E10)</f>
        <v>0</v>
      </c>
      <c r="F10" s="219"/>
      <c r="G10" s="176"/>
      <c r="H10" s="198" t="s">
        <v>112</v>
      </c>
      <c r="I10" s="199"/>
      <c r="J10" s="199"/>
      <c r="K10" s="200"/>
      <c r="L10" s="385">
        <f>SUM(Gen:Dic!L10)</f>
        <v>0</v>
      </c>
      <c r="M10" s="387"/>
      <c r="N10" s="364"/>
      <c r="O10" s="365"/>
      <c r="P10" s="397"/>
      <c r="Q10" s="378"/>
      <c r="R10" s="379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</row>
    <row r="11" spans="1:44" ht="12.75">
      <c r="A11" s="27" t="s">
        <v>14</v>
      </c>
      <c r="B11" s="29"/>
      <c r="C11" s="29"/>
      <c r="D11" s="29"/>
      <c r="E11" s="175">
        <f>SUM(Gen:Dic!E11)</f>
        <v>0</v>
      </c>
      <c r="F11" s="219"/>
      <c r="G11" s="176"/>
      <c r="H11" s="198" t="s">
        <v>113</v>
      </c>
      <c r="I11" s="199"/>
      <c r="J11" s="199"/>
      <c r="K11" s="200"/>
      <c r="L11" s="385">
        <f>SUM(Gen:Dic!L11)</f>
        <v>0</v>
      </c>
      <c r="M11" s="388" t="s">
        <v>134</v>
      </c>
      <c r="N11" s="371"/>
      <c r="O11" s="371"/>
      <c r="P11" s="398"/>
      <c r="Q11" s="378"/>
      <c r="R11" s="382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</row>
    <row r="12" spans="1:44" ht="12.75">
      <c r="A12" s="27" t="s">
        <v>16</v>
      </c>
      <c r="B12" s="29"/>
      <c r="C12" s="29"/>
      <c r="D12" s="23"/>
      <c r="E12" s="175">
        <f>SUM(Gen:Dic!E12)</f>
        <v>0</v>
      </c>
      <c r="F12" s="219"/>
      <c r="G12" s="176"/>
      <c r="H12" s="198" t="s">
        <v>114</v>
      </c>
      <c r="I12" s="199"/>
      <c r="J12" s="199"/>
      <c r="K12" s="200"/>
      <c r="L12" s="385">
        <f>SUM(Gen:Dic!L12)</f>
        <v>0</v>
      </c>
      <c r="M12" s="387"/>
      <c r="N12" s="364"/>
      <c r="O12" s="365"/>
      <c r="P12" s="397"/>
      <c r="Q12" s="378"/>
      <c r="R12" s="382"/>
      <c r="S12" s="186" t="s">
        <v>32</v>
      </c>
      <c r="T12" s="186"/>
      <c r="U12" s="186"/>
      <c r="V12" s="186"/>
      <c r="W12" s="186"/>
      <c r="X12" t="s">
        <v>44</v>
      </c>
      <c r="Y12" t="s">
        <v>43</v>
      </c>
      <c r="AD12" s="77"/>
      <c r="AE12" s="78"/>
      <c r="AF12" s="78"/>
      <c r="AG12" s="78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</row>
    <row r="13" spans="1:44" ht="13.5" customHeight="1" thickBot="1">
      <c r="A13" s="27" t="s">
        <v>17</v>
      </c>
      <c r="B13" s="29"/>
      <c r="C13" s="29"/>
      <c r="D13" s="23"/>
      <c r="E13" s="175">
        <f>SUM(Gen:Dic!E13)</f>
        <v>0</v>
      </c>
      <c r="F13" s="219"/>
      <c r="G13" s="176"/>
      <c r="H13" s="198" t="s">
        <v>115</v>
      </c>
      <c r="I13" s="199"/>
      <c r="J13" s="199"/>
      <c r="K13" s="200"/>
      <c r="L13" s="385">
        <f>SUM(Gen:Dic!L13)</f>
        <v>0</v>
      </c>
      <c r="M13" s="389" t="s">
        <v>135</v>
      </c>
      <c r="N13" s="372"/>
      <c r="O13" s="372"/>
      <c r="P13" s="399"/>
      <c r="Q13" s="378"/>
      <c r="R13" s="382"/>
      <c r="S13" s="4" t="s">
        <v>33</v>
      </c>
      <c r="T13" s="12">
        <v>80000</v>
      </c>
      <c r="U13" s="4"/>
      <c r="V13" s="12">
        <v>800</v>
      </c>
      <c r="W13" s="12">
        <v>690</v>
      </c>
      <c r="X13">
        <v>110</v>
      </c>
      <c r="Y13">
        <f>ROUND(Lordo/T19,4)</f>
        <v>0</v>
      </c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</row>
    <row r="14" spans="1:44" ht="13.5" thickBot="1">
      <c r="A14" s="192" t="s">
        <v>108</v>
      </c>
      <c r="B14" s="193"/>
      <c r="C14" s="193"/>
      <c r="D14" s="194"/>
      <c r="E14" s="175">
        <f>SUM(Gen:Dic!E14)</f>
        <v>0</v>
      </c>
      <c r="F14" s="219"/>
      <c r="G14" s="176"/>
      <c r="H14" s="198" t="s">
        <v>116</v>
      </c>
      <c r="I14" s="199"/>
      <c r="J14" s="199"/>
      <c r="K14" s="200"/>
      <c r="L14" s="385">
        <f>SUM(Gen:Dic!L14)</f>
        <v>0</v>
      </c>
      <c r="M14" s="390"/>
      <c r="N14" s="366"/>
      <c r="O14" s="366"/>
      <c r="P14" s="400"/>
      <c r="Q14" s="378"/>
      <c r="R14" s="382"/>
      <c r="S14" s="4" t="s">
        <v>34</v>
      </c>
      <c r="T14" s="12">
        <v>95000</v>
      </c>
      <c r="U14" s="4"/>
      <c r="V14" s="12">
        <v>800</v>
      </c>
      <c r="Y14">
        <f>ROUND((Coniuge-Lordo)/T38,4)</f>
        <v>2</v>
      </c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</row>
    <row r="15" spans="1:44" ht="13.5" thickBot="1">
      <c r="A15" s="192" t="s">
        <v>109</v>
      </c>
      <c r="B15" s="193"/>
      <c r="C15" s="193"/>
      <c r="D15" s="194"/>
      <c r="E15" s="175">
        <f>SUM(Gen:Dic!E15)</f>
        <v>0</v>
      </c>
      <c r="F15" s="219"/>
      <c r="G15" s="176"/>
      <c r="H15" s="192" t="s">
        <v>149</v>
      </c>
      <c r="I15" s="193"/>
      <c r="J15" s="193"/>
      <c r="K15" s="194"/>
      <c r="L15" s="385">
        <f>SUM(Gen:Dic!L15)</f>
        <v>0</v>
      </c>
      <c r="M15" s="367" t="s">
        <v>136</v>
      </c>
      <c r="N15" s="368"/>
      <c r="O15" s="369"/>
      <c r="P15" s="401">
        <f>+E17+P11</f>
        <v>0</v>
      </c>
      <c r="S15" s="4" t="s">
        <v>35</v>
      </c>
      <c r="T15" s="12">
        <v>55000</v>
      </c>
      <c r="U15" s="4"/>
      <c r="V15" s="12">
        <v>1338</v>
      </c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</row>
    <row r="16" spans="1:44" ht="13.5" thickBot="1">
      <c r="A16" s="192" t="s">
        <v>148</v>
      </c>
      <c r="B16" s="193"/>
      <c r="C16" s="193"/>
      <c r="D16" s="194"/>
      <c r="E16" s="175">
        <f>SUM(Gen:Dic!E16)</f>
        <v>0</v>
      </c>
      <c r="F16" s="219"/>
      <c r="G16" s="176"/>
      <c r="H16" s="192" t="s">
        <v>150</v>
      </c>
      <c r="I16" s="193"/>
      <c r="J16" s="193"/>
      <c r="K16" s="194"/>
      <c r="L16" s="385">
        <f>SUM(Gen:Dic!L16)</f>
        <v>0</v>
      </c>
      <c r="M16" s="391"/>
      <c r="N16" s="20"/>
      <c r="O16" s="20"/>
      <c r="P16" s="402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</row>
    <row r="17" spans="1:44" ht="13.5" thickBot="1">
      <c r="A17" s="31" t="s">
        <v>15</v>
      </c>
      <c r="B17" s="28"/>
      <c r="C17" s="28"/>
      <c r="D17" s="32"/>
      <c r="E17" s="175">
        <f>SUM(E8:G16)</f>
        <v>0</v>
      </c>
      <c r="F17" s="219"/>
      <c r="G17" s="360"/>
      <c r="H17" s="192" t="s">
        <v>148</v>
      </c>
      <c r="I17" s="193"/>
      <c r="J17" s="193"/>
      <c r="K17" s="194"/>
      <c r="L17" s="385">
        <f>SUM(Gen:Dic!L17)</f>
        <v>0</v>
      </c>
      <c r="M17" s="367" t="s">
        <v>137</v>
      </c>
      <c r="N17" s="368"/>
      <c r="O17" s="369"/>
      <c r="P17" s="401">
        <f>+L18+P13</f>
        <v>0</v>
      </c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</row>
    <row r="18" spans="1:44" ht="17.25" customHeight="1" thickBot="1">
      <c r="A18" s="57"/>
      <c r="B18" s="20"/>
      <c r="C18" s="20"/>
      <c r="D18" s="20"/>
      <c r="E18" s="20"/>
      <c r="F18" s="20"/>
      <c r="G18" s="20"/>
      <c r="H18" s="165" t="s">
        <v>15</v>
      </c>
      <c r="I18" s="166"/>
      <c r="J18" s="166"/>
      <c r="K18" s="167"/>
      <c r="L18" s="385">
        <f>SUM(L8:L17)</f>
        <v>0</v>
      </c>
      <c r="M18" s="392"/>
      <c r="N18" s="393"/>
      <c r="O18" s="393"/>
      <c r="P18" s="403"/>
      <c r="Q18" s="394"/>
      <c r="R18" s="395"/>
      <c r="S18" s="4" t="s">
        <v>38</v>
      </c>
      <c r="T18" s="12" t="s">
        <v>39</v>
      </c>
      <c r="V18" s="18" t="s">
        <v>45</v>
      </c>
      <c r="W18" s="18" t="s">
        <v>40</v>
      </c>
      <c r="Y18">
        <f>IF(Z18&gt;0,1,0)</f>
        <v>0</v>
      </c>
      <c r="AA18">
        <v>700</v>
      </c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</row>
    <row r="19" spans="1:44" ht="16.5" customHeight="1" hidden="1" thickBot="1">
      <c r="A19" s="79"/>
      <c r="B19" s="25"/>
      <c r="C19" s="25"/>
      <c r="D19" s="25"/>
      <c r="E19" s="25"/>
      <c r="F19" s="25"/>
      <c r="G19" s="25"/>
      <c r="H19" s="20"/>
      <c r="I19" s="20"/>
      <c r="J19" s="20"/>
      <c r="K19" s="20"/>
      <c r="L19" s="20"/>
      <c r="M19" s="20"/>
      <c r="N19" s="20"/>
      <c r="O19" s="20"/>
      <c r="P19" s="62"/>
      <c r="Q19" s="378"/>
      <c r="R19" s="379"/>
      <c r="S19" s="187" t="s">
        <v>33</v>
      </c>
      <c r="T19" s="187">
        <v>15000</v>
      </c>
      <c r="V19" s="16">
        <v>0</v>
      </c>
      <c r="W19" s="15">
        <v>0</v>
      </c>
      <c r="Y19">
        <f>IF(Z19&gt;0,1,0)</f>
        <v>0</v>
      </c>
      <c r="AA19">
        <v>500</v>
      </c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</row>
    <row r="20" spans="1:44" ht="16.5" thickBot="1">
      <c r="A20" s="241" t="s">
        <v>66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3"/>
      <c r="Q20" s="378"/>
      <c r="R20" s="379"/>
      <c r="S20" s="187"/>
      <c r="T20" s="187"/>
      <c r="V20" s="16"/>
      <c r="W20" s="15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</row>
    <row r="21" spans="1:44" ht="13.5" thickTop="1">
      <c r="A21" s="289" t="s">
        <v>33</v>
      </c>
      <c r="B21" s="289"/>
      <c r="C21" s="289"/>
      <c r="D21" s="2"/>
      <c r="E21" s="25"/>
      <c r="F21" s="63" t="str">
        <f>IF(CNG="Si","Mesi a carico",Vuota1)</f>
        <v>        </v>
      </c>
      <c r="G21" s="63"/>
      <c r="H21" s="63"/>
      <c r="I21" s="45"/>
      <c r="J21" s="20"/>
      <c r="K21" s="20"/>
      <c r="L21" s="20"/>
      <c r="M21" s="20"/>
      <c r="N21" s="20"/>
      <c r="O21" s="20"/>
      <c r="P21" s="62"/>
      <c r="Q21" s="378"/>
      <c r="R21" s="379"/>
      <c r="S21" s="187"/>
      <c r="T21" s="187"/>
      <c r="V21" s="16"/>
      <c r="W21" s="15"/>
      <c r="AD21" s="77"/>
      <c r="AE21" s="253" t="s">
        <v>83</v>
      </c>
      <c r="AF21" s="254"/>
      <c r="AG21" s="255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</row>
    <row r="22" spans="1:44" ht="12.75">
      <c r="A22" s="64"/>
      <c r="B22" s="63"/>
      <c r="C22" s="48"/>
      <c r="D22" s="20"/>
      <c r="E22" s="25"/>
      <c r="F22" s="63"/>
      <c r="G22" s="63"/>
      <c r="H22" s="63"/>
      <c r="I22" s="20"/>
      <c r="J22" s="20"/>
      <c r="K22" s="20"/>
      <c r="L22" s="20"/>
      <c r="M22" s="20"/>
      <c r="N22" s="20"/>
      <c r="O22" s="20"/>
      <c r="P22" s="62"/>
      <c r="Q22" s="378"/>
      <c r="R22" s="379"/>
      <c r="S22" s="187"/>
      <c r="T22" s="187"/>
      <c r="V22" s="16"/>
      <c r="W22" s="15"/>
      <c r="AD22" s="77"/>
      <c r="AE22" s="256"/>
      <c r="AF22" s="257"/>
      <c r="AG22" s="258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</row>
    <row r="23" spans="1:44" ht="12.75">
      <c r="A23" s="54" t="s">
        <v>67</v>
      </c>
      <c r="B23" s="55"/>
      <c r="C23" s="56"/>
      <c r="D23" s="49"/>
      <c r="E23" s="20"/>
      <c r="F23" s="63" t="str">
        <f>IF(N_Fgl&gt;0,"Se il 1° figlio è in assenza del coniuge barrare la casella &gt;&gt;&gt;&gt;",Vuota1)</f>
        <v>        </v>
      </c>
      <c r="G23" s="63"/>
      <c r="H23" s="63"/>
      <c r="I23" s="20"/>
      <c r="J23" s="25"/>
      <c r="K23" s="20"/>
      <c r="L23" s="20"/>
      <c r="M23" s="20"/>
      <c r="N23" s="43"/>
      <c r="O23" s="63" t="str">
        <f>IF(N23&gt;0,"Mesi a carico",Vuota1)</f>
        <v>        </v>
      </c>
      <c r="P23" s="65"/>
      <c r="Q23" s="378"/>
      <c r="R23" s="379"/>
      <c r="S23" s="187"/>
      <c r="T23" s="187"/>
      <c r="V23" s="16"/>
      <c r="W23" s="15"/>
      <c r="AD23" s="77"/>
      <c r="AE23" s="256"/>
      <c r="AF23" s="257"/>
      <c r="AG23" s="258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</row>
    <row r="24" spans="1:44" ht="12.75" customHeight="1">
      <c r="A24" s="47"/>
      <c r="B24" s="239" t="s">
        <v>64</v>
      </c>
      <c r="C24" s="240"/>
      <c r="D24" s="293"/>
      <c r="E24" s="294" t="s">
        <v>65</v>
      </c>
      <c r="F24" s="295"/>
      <c r="G24" s="293"/>
      <c r="H24" s="294" t="s">
        <v>59</v>
      </c>
      <c r="I24" s="295"/>
      <c r="J24" s="293"/>
      <c r="K24" s="42" t="s">
        <v>80</v>
      </c>
      <c r="L24" s="63"/>
      <c r="M24" s="20"/>
      <c r="N24" s="20"/>
      <c r="O24" s="20"/>
      <c r="P24" s="62"/>
      <c r="Q24" s="378"/>
      <c r="R24" s="379"/>
      <c r="S24" s="187"/>
      <c r="T24" s="187"/>
      <c r="V24" s="16"/>
      <c r="W24" s="15"/>
      <c r="AD24" s="77"/>
      <c r="AE24" s="256"/>
      <c r="AF24" s="257"/>
      <c r="AG24" s="258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</row>
    <row r="25" spans="1:44" ht="12.75">
      <c r="A25" s="64" t="str">
        <f>IF(N_Fgl&gt;0,"1° figlio",Vuota1)</f>
        <v>        </v>
      </c>
      <c r="B25" s="63"/>
      <c r="C25" s="43"/>
      <c r="D25" s="63"/>
      <c r="E25" s="63"/>
      <c r="F25" s="43"/>
      <c r="G25" s="63"/>
      <c r="H25" s="63"/>
      <c r="I25" s="43"/>
      <c r="J25" s="63"/>
      <c r="K25" s="43"/>
      <c r="L25" s="66" t="str">
        <f>IF(K25&gt;0,IF(N_Fgl&gt;0,IF(P23=12,R27,ROUND(dsfig/12*(K25-P23)*Perc,5)+IF(F25&gt;0,ROUND(((dsfg3-dsfig)/12*(K25-P23))*Perc,5),0)+IF(I25&gt;0,ROUND(dsfhc/12*(K25-P23)*Perc,5),0)+IF(P23&gt;0,R27,0)),Vuota1),Vuota1)</f>
        <v>        </v>
      </c>
      <c r="M25" s="231" t="s">
        <v>69</v>
      </c>
      <c r="N25" s="232"/>
      <c r="O25" s="233"/>
      <c r="P25" s="244">
        <v>1</v>
      </c>
      <c r="Q25" s="378"/>
      <c r="R25" s="382">
        <f>ROUND(dsfig/12*$K$25,5)+IF($F$25&gt;0,ROUND((dsfg3-dsfig)/12*$K$25,5),0)+IF($I$25&gt;0,ROUND(dsfhc/12*$K$25,5),0)</f>
        <v>0</v>
      </c>
      <c r="S25" s="187"/>
      <c r="T25" s="187"/>
      <c r="V25" s="16"/>
      <c r="W25" s="15"/>
      <c r="AD25" s="77"/>
      <c r="AE25" s="256"/>
      <c r="AF25" s="257"/>
      <c r="AG25" s="258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</row>
    <row r="26" spans="1:44" ht="13.5" thickBot="1">
      <c r="A26" s="64" t="str">
        <f>IF(N_Fgl&gt;1,"2° figlio"," ")</f>
        <v> </v>
      </c>
      <c r="B26" s="63"/>
      <c r="C26" s="43"/>
      <c r="D26" s="63"/>
      <c r="E26" s="63"/>
      <c r="F26" s="43"/>
      <c r="G26" s="63"/>
      <c r="H26" s="63"/>
      <c r="I26" s="43"/>
      <c r="J26" s="63"/>
      <c r="K26" s="43"/>
      <c r="L26" s="66" t="str">
        <f aca="true" t="shared" si="0" ref="L26:L31">IF(K26&gt;0,IF(N_Fgl&gt;1,ROUND(dsfig/12*K26*Perc,5)+IF(F26&gt;0,ROUND(((dsfg3-dsfig)/12*K26)*Perc,5),0)+IF(I26&gt;0,ROUND(dsfhc/12*K26*Perc,5),0)),Vuota1)</f>
        <v>        </v>
      </c>
      <c r="M26" s="234"/>
      <c r="N26" s="188"/>
      <c r="O26" s="235"/>
      <c r="P26" s="245"/>
      <c r="Q26" s="378"/>
      <c r="R26" s="379"/>
      <c r="S26" s="187"/>
      <c r="T26" s="187"/>
      <c r="V26" s="16"/>
      <c r="W26" s="15"/>
      <c r="AD26" s="77"/>
      <c r="AE26" s="259"/>
      <c r="AF26" s="260"/>
      <c r="AG26" s="261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</row>
    <row r="27" spans="1:44" ht="13.5" thickTop="1">
      <c r="A27" s="64" t="str">
        <f>IF(N_Fgl&gt;2,"3° figlio"," ")</f>
        <v> </v>
      </c>
      <c r="B27" s="63"/>
      <c r="C27" s="43"/>
      <c r="D27" s="63"/>
      <c r="E27" s="63"/>
      <c r="F27" s="43"/>
      <c r="G27" s="63"/>
      <c r="H27" s="63"/>
      <c r="I27" s="43"/>
      <c r="J27" s="63"/>
      <c r="K27" s="43"/>
      <c r="L27" s="66" t="str">
        <f t="shared" si="0"/>
        <v>        </v>
      </c>
      <c r="M27" s="236"/>
      <c r="N27" s="237"/>
      <c r="O27" s="238"/>
      <c r="P27" s="246"/>
      <c r="Q27" s="378"/>
      <c r="R27" s="382">
        <f>IF($N$23&gt;0,IF($R$25&gt;Cng_nn,ROUND($R$25/12*P23,5),ROUND(Cng_nn/12*$P$23,5)),R25)</f>
        <v>0</v>
      </c>
      <c r="S27" s="187"/>
      <c r="T27" s="187"/>
      <c r="V27" s="16"/>
      <c r="W27" s="15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</row>
    <row r="28" spans="1:44" ht="12.75">
      <c r="A28" s="64" t="str">
        <f>IF(N_Fgl&gt;3,"4° figlio"," ")</f>
        <v> </v>
      </c>
      <c r="B28" s="63"/>
      <c r="C28" s="43"/>
      <c r="D28" s="63"/>
      <c r="E28" s="63"/>
      <c r="F28" s="43"/>
      <c r="G28" s="63"/>
      <c r="H28" s="63"/>
      <c r="I28" s="43"/>
      <c r="J28" s="63"/>
      <c r="K28" s="43"/>
      <c r="L28" s="66" t="str">
        <f t="shared" si="0"/>
        <v>        </v>
      </c>
      <c r="M28" s="20"/>
      <c r="N28" s="20"/>
      <c r="O28" s="20"/>
      <c r="P28" s="62"/>
      <c r="Q28" s="378"/>
      <c r="R28" s="379"/>
      <c r="S28" s="187"/>
      <c r="T28" s="187"/>
      <c r="V28" s="16"/>
      <c r="W28" s="15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</row>
    <row r="29" spans="1:44" ht="12.75">
      <c r="A29" s="64" t="str">
        <f>IF(N_Fgl&gt;4,"5° figlio"," ")</f>
        <v> </v>
      </c>
      <c r="B29" s="63"/>
      <c r="C29" s="43"/>
      <c r="D29" s="63"/>
      <c r="E29" s="63"/>
      <c r="F29" s="43"/>
      <c r="G29" s="63"/>
      <c r="H29" s="63"/>
      <c r="I29" s="43"/>
      <c r="J29" s="63"/>
      <c r="K29" s="43"/>
      <c r="L29" s="66" t="str">
        <f t="shared" si="0"/>
        <v>        </v>
      </c>
      <c r="M29" s="20"/>
      <c r="N29" s="20"/>
      <c r="O29" s="20"/>
      <c r="P29" s="62"/>
      <c r="Q29" s="378"/>
      <c r="R29" s="379"/>
      <c r="S29" s="187"/>
      <c r="T29" s="187"/>
      <c r="V29" s="16"/>
      <c r="W29" s="15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</row>
    <row r="30" spans="1:44" ht="12.75">
      <c r="A30" s="64" t="str">
        <f>IF(N_Fgl&gt;5,"6° figlio"," ")</f>
        <v> </v>
      </c>
      <c r="B30" s="63"/>
      <c r="C30" s="43"/>
      <c r="D30" s="63"/>
      <c r="E30" s="63"/>
      <c r="F30" s="43"/>
      <c r="G30" s="63"/>
      <c r="H30" s="63"/>
      <c r="I30" s="43"/>
      <c r="J30" s="63"/>
      <c r="K30" s="43"/>
      <c r="L30" s="66" t="str">
        <f t="shared" si="0"/>
        <v>        </v>
      </c>
      <c r="M30" s="20"/>
      <c r="N30" s="20"/>
      <c r="O30" s="20"/>
      <c r="P30" s="62"/>
      <c r="Q30" s="378"/>
      <c r="R30" s="379"/>
      <c r="S30" s="187"/>
      <c r="T30" s="187"/>
      <c r="V30" s="16"/>
      <c r="W30" s="15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</row>
    <row r="31" spans="1:44" ht="12.75">
      <c r="A31" s="64" t="str">
        <f>IF(N_Fgl&gt;6,"7° figlio"," ")</f>
        <v> </v>
      </c>
      <c r="B31" s="63"/>
      <c r="C31" s="43"/>
      <c r="D31" s="63"/>
      <c r="E31" s="63"/>
      <c r="F31" s="43"/>
      <c r="G31" s="63"/>
      <c r="H31" s="63"/>
      <c r="I31" s="43"/>
      <c r="J31" s="63"/>
      <c r="K31" s="43"/>
      <c r="L31" s="66" t="str">
        <f t="shared" si="0"/>
        <v>        </v>
      </c>
      <c r="M31" s="20"/>
      <c r="N31" s="20"/>
      <c r="O31" s="20"/>
      <c r="P31" s="62"/>
      <c r="Q31" s="378"/>
      <c r="R31" s="379"/>
      <c r="S31" s="187"/>
      <c r="T31" s="187"/>
      <c r="V31" s="16"/>
      <c r="W31" s="15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</row>
    <row r="32" spans="1:44" ht="12.75">
      <c r="A32" s="5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62"/>
      <c r="Q32" s="378"/>
      <c r="R32" s="379"/>
      <c r="S32" s="187"/>
      <c r="T32" s="187"/>
      <c r="V32" s="16"/>
      <c r="W32" s="15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</row>
    <row r="33" spans="1:44" ht="12.75">
      <c r="A33" s="286" t="s">
        <v>86</v>
      </c>
      <c r="B33" s="287"/>
      <c r="C33" s="288"/>
      <c r="D33" s="2"/>
      <c r="E33" s="20"/>
      <c r="F33" s="63" t="str">
        <f>IF(D33&gt;0,"Mesi a carico",Vuota1)</f>
        <v>        </v>
      </c>
      <c r="G33" s="63"/>
      <c r="H33" s="63"/>
      <c r="I33" s="45"/>
      <c r="J33" s="20"/>
      <c r="K33" s="188" t="str">
        <f>IF(D33&gt;0,"Indicare il numero complessivo degli aventi diritto alla detrazione pro quota",Vuota1)</f>
        <v>        </v>
      </c>
      <c r="L33" s="179"/>
      <c r="M33" s="179"/>
      <c r="N33" s="179"/>
      <c r="O33" s="179"/>
      <c r="P33" s="223"/>
      <c r="Q33" s="378"/>
      <c r="R33" s="379"/>
      <c r="S33" s="187"/>
      <c r="T33" s="187"/>
      <c r="V33" s="16"/>
      <c r="W33" s="15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</row>
    <row r="34" spans="1:44" ht="12.75">
      <c r="A34" s="80"/>
      <c r="B34" s="81"/>
      <c r="C34" s="81"/>
      <c r="D34" s="82"/>
      <c r="E34" s="20"/>
      <c r="F34" s="63"/>
      <c r="G34" s="63"/>
      <c r="H34" s="63"/>
      <c r="I34" s="45"/>
      <c r="J34" s="20"/>
      <c r="K34" s="180"/>
      <c r="L34" s="180"/>
      <c r="M34" s="180"/>
      <c r="N34" s="180"/>
      <c r="O34" s="180"/>
      <c r="P34" s="224"/>
      <c r="Q34" s="378"/>
      <c r="R34" s="379"/>
      <c r="S34" s="187"/>
      <c r="T34" s="187"/>
      <c r="V34" s="16"/>
      <c r="W34" s="15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</row>
    <row r="35" spans="1:44" ht="12.75">
      <c r="A35" s="165" t="s">
        <v>70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7"/>
      <c r="Q35" s="378"/>
      <c r="R35" s="379"/>
      <c r="S35" s="187"/>
      <c r="T35" s="187"/>
      <c r="V35" s="13">
        <v>0.0001</v>
      </c>
      <c r="W35">
        <f>ROUND(DetrConiuge-(Ind*Rapp),5)</f>
        <v>800</v>
      </c>
      <c r="Y35">
        <f>IF(Z35&gt;0,1,0)</f>
        <v>0</v>
      </c>
      <c r="AA35">
        <v>200</v>
      </c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</row>
    <row r="36" spans="1:44" ht="12.75">
      <c r="A36" s="290" t="s">
        <v>32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2"/>
      <c r="Q36" s="378"/>
      <c r="R36" s="383" t="s">
        <v>62</v>
      </c>
      <c r="S36" s="187"/>
      <c r="T36" s="187"/>
      <c r="V36" s="12">
        <v>1</v>
      </c>
      <c r="W36">
        <f>+DetrRid</f>
        <v>690</v>
      </c>
      <c r="Y36">
        <f>IF(Z36&gt;0,1,0)</f>
        <v>0</v>
      </c>
      <c r="AA36">
        <v>1500</v>
      </c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</row>
    <row r="37" spans="1:44" ht="12.75">
      <c r="A37" s="225" t="s">
        <v>19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7"/>
      <c r="M37" s="3">
        <f>IF(CNG="SI",ROUND((VLOOKUP(Lordo,ConDetr,3)+VLOOKUP(Lordo,LettB,3))/12*Me_co,2),0)</f>
        <v>0</v>
      </c>
      <c r="N37" s="20"/>
      <c r="O37" s="20"/>
      <c r="P37" s="62"/>
      <c r="Q37" s="378"/>
      <c r="R37" s="383"/>
      <c r="S37" s="187"/>
      <c r="T37" s="187"/>
      <c r="V37" s="12">
        <v>10</v>
      </c>
      <c r="W37">
        <f>ROUND(DetrConiuge-(Ind*Rapp),2)</f>
        <v>800</v>
      </c>
      <c r="Y37">
        <f>SUM(Y18:Y36)</f>
        <v>0</v>
      </c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</row>
    <row r="38" spans="1:44" ht="12.75">
      <c r="A38" s="225" t="s">
        <v>42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7"/>
      <c r="M38" s="3">
        <f>ROUND(SUMIF(L25:L31,"&gt;0"),2)</f>
        <v>0</v>
      </c>
      <c r="N38" s="20"/>
      <c r="O38" s="20"/>
      <c r="P38" s="62"/>
      <c r="Q38" s="378"/>
      <c r="R38" s="381">
        <f>IF(Lordo&gt;0,ROUND((VLOOKUP(Lordo,ConDetr,3)+VLOOKUP(Lordo,LettB,3)),5),0)</f>
        <v>0</v>
      </c>
      <c r="S38" s="187"/>
      <c r="T38" s="12">
        <v>40000</v>
      </c>
      <c r="W38">
        <f>+DetrRid</f>
        <v>690</v>
      </c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</row>
    <row r="39" spans="1:44" ht="12.75">
      <c r="A39" s="225" t="s">
        <v>56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7"/>
      <c r="M39" s="3">
        <f>IF(D33&gt;0,IF(P33&gt;0,ROUND(dsaltri*D33/12*I33/P33,2),0),0)</f>
        <v>0</v>
      </c>
      <c r="N39" s="20"/>
      <c r="O39" s="20"/>
      <c r="P39" s="62"/>
      <c r="Q39" s="378"/>
      <c r="R39" s="379"/>
      <c r="S39" s="187"/>
      <c r="T39" s="187">
        <v>80000</v>
      </c>
      <c r="V39" s="16">
        <v>0</v>
      </c>
      <c r="W39">
        <v>0</v>
      </c>
      <c r="Z39">
        <f>IF(Y37&gt;0,IF(VLOOKUP(Z42,abi,2)&lt;DetrRid,DetrRid,VLOOKUP(Z42,abi,2)),0)</f>
        <v>0</v>
      </c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</row>
    <row r="40" spans="1:44" ht="12.75">
      <c r="A40" s="172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4"/>
      <c r="Q40" s="378"/>
      <c r="R40" s="383" t="s">
        <v>63</v>
      </c>
      <c r="S40" s="187"/>
      <c r="T40" s="187"/>
      <c r="V40" s="13">
        <v>0.0001</v>
      </c>
      <c r="W40" s="85">
        <f>ROUND(DetrRid*Rap1,5)</f>
        <v>1380</v>
      </c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</row>
    <row r="41" spans="1:44" ht="12.75">
      <c r="A41" s="225" t="s">
        <v>76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7"/>
      <c r="M41" s="3">
        <f>SUM(M37:M39)</f>
        <v>0</v>
      </c>
      <c r="N41" s="20"/>
      <c r="O41" s="20"/>
      <c r="P41" s="62"/>
      <c r="Q41" s="378"/>
      <c r="R41" s="383"/>
      <c r="S41" s="187"/>
      <c r="T41" s="187"/>
      <c r="V41" s="12">
        <v>1</v>
      </c>
      <c r="W41" s="85">
        <f>ROUND(DetrRid*Rap1,5)</f>
        <v>1380</v>
      </c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</row>
    <row r="42" spans="1:44" ht="12.75">
      <c r="A42" s="165" t="s">
        <v>71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7"/>
      <c r="Q42" s="378"/>
      <c r="R42" s="382">
        <f>dsfig+IF($F$25&gt;0,dsfg3-dsfig,0)+IF($I$25&gt;0,dsfhc,0)</f>
        <v>0</v>
      </c>
      <c r="S42" s="187"/>
      <c r="T42" s="187"/>
      <c r="V42" s="12">
        <v>10</v>
      </c>
      <c r="W42" s="85">
        <f>ROUND(DetrRid*Rap1,5)</f>
        <v>1380</v>
      </c>
      <c r="Z42" t="s">
        <v>58</v>
      </c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</row>
    <row r="43" spans="1:44" ht="12.75">
      <c r="A43" s="155" t="s">
        <v>73</v>
      </c>
      <c r="B43" s="156"/>
      <c r="C43" s="156"/>
      <c r="D43" s="156"/>
      <c r="E43" s="156"/>
      <c r="F43" s="157"/>
      <c r="G43" s="46" t="str">
        <f>IF(Lordo&gt;0,IF(G44&gt;0,Vuota1,"x"),Vuota1)</f>
        <v>        </v>
      </c>
      <c r="H43" s="63"/>
      <c r="I43" s="158" t="s">
        <v>140</v>
      </c>
      <c r="J43" s="158"/>
      <c r="K43" s="158"/>
      <c r="L43" s="159"/>
      <c r="M43" s="2">
        <v>365</v>
      </c>
      <c r="N43" s="20"/>
      <c r="O43" s="20"/>
      <c r="P43" s="62"/>
      <c r="Q43" s="378"/>
      <c r="R43" s="379"/>
      <c r="S43" s="187"/>
      <c r="T43" s="85">
        <v>1000000000</v>
      </c>
      <c r="V43">
        <v>0</v>
      </c>
      <c r="W43">
        <v>0</v>
      </c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</row>
    <row r="44" spans="1:44" ht="12.75">
      <c r="A44" s="67" t="s">
        <v>74</v>
      </c>
      <c r="B44" s="68"/>
      <c r="C44" s="68"/>
      <c r="D44" s="68"/>
      <c r="E44" s="68"/>
      <c r="F44" s="20"/>
      <c r="G44" s="2"/>
      <c r="H44" s="63"/>
      <c r="I44" s="63"/>
      <c r="J44" s="63"/>
      <c r="K44" s="158" t="s">
        <v>77</v>
      </c>
      <c r="L44" s="158"/>
      <c r="M44" s="158"/>
      <c r="N44" s="159"/>
      <c r="O44" s="39">
        <f>ROUND(IF(Lordo&gt;0,IF(G44&gt;0,IF(Lordo&lt;8000.01,IF(R44&gt;R47,R44,R47),R44),IF(Lordo&lt;8000.01,IF(R44&gt;R46,R44,R46),R44)),0),2)</f>
        <v>0</v>
      </c>
      <c r="P44" s="62"/>
      <c r="Q44" s="378"/>
      <c r="R44" s="384">
        <f>IF(Lordo&gt;0,ROUND((VLOOKUP(Lordo,Altre_detraz,2)/365*M43+VLOOKUP(Lordo,Aum_altre,2)),5),0)</f>
        <v>0</v>
      </c>
      <c r="S44" s="18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</row>
    <row r="45" spans="1:44" ht="12.75" customHeight="1" thickBot="1">
      <c r="A45" s="6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70"/>
      <c r="Q45" s="378"/>
      <c r="R45" s="379"/>
      <c r="S45" s="18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</row>
    <row r="46" spans="1:44" ht="12.75" customHeight="1" thickBot="1">
      <c r="A46" s="220" t="s">
        <v>142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2"/>
      <c r="O46" s="228">
        <f>+P15-P17</f>
        <v>0</v>
      </c>
      <c r="P46" s="228"/>
      <c r="Q46" s="378"/>
      <c r="R46" s="382">
        <v>690</v>
      </c>
      <c r="S46" s="187"/>
      <c r="T46" s="85">
        <v>0.001</v>
      </c>
      <c r="V46" s="85">
        <f>VLOOKUP(Rapp,quin,2)</f>
        <v>0</v>
      </c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</row>
    <row r="47" spans="1:44" ht="12.75" customHeight="1" thickBot="1">
      <c r="A47" s="220" t="s">
        <v>143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2"/>
      <c r="O47" s="162">
        <f>IF(ReddNetto&gt;0,ROUND((ReddNetto-VLOOKUP(ReddNetto,Aliquote,1))*VLOOKUP(ReddNetto,Aliquote,3),5)+VLOOKUP(ReddNetto,Aliquote,4),0)</f>
        <v>0</v>
      </c>
      <c r="P47" s="162"/>
      <c r="Q47" s="378"/>
      <c r="R47" s="382">
        <v>1380</v>
      </c>
      <c r="S47" s="187"/>
      <c r="T47" s="85">
        <v>15000</v>
      </c>
      <c r="V47" s="85">
        <f>+DetrRid</f>
        <v>690</v>
      </c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</row>
    <row r="48" spans="1:44" ht="13.5" thickBot="1">
      <c r="A48" s="220" t="s">
        <v>144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2"/>
      <c r="O48" s="162">
        <f>+M41+O44</f>
        <v>0</v>
      </c>
      <c r="P48" s="162"/>
      <c r="Q48" s="378"/>
      <c r="R48" s="379"/>
      <c r="S48" s="187"/>
      <c r="T48" s="85">
        <v>40000</v>
      </c>
      <c r="V48" s="85">
        <f>VLOOKUP(Rap1,ottan,2)</f>
        <v>1380</v>
      </c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</row>
    <row r="49" spans="1:44" ht="16.5" thickBot="1">
      <c r="A49" s="229" t="s">
        <v>145</v>
      </c>
      <c r="B49" s="230"/>
      <c r="C49" s="230"/>
      <c r="D49" s="230"/>
      <c r="E49" s="230"/>
      <c r="F49" s="230"/>
      <c r="G49" s="221"/>
      <c r="H49" s="221"/>
      <c r="I49" s="221"/>
      <c r="J49" s="221"/>
      <c r="K49" s="221"/>
      <c r="L49" s="221"/>
      <c r="M49" s="221"/>
      <c r="N49" s="222"/>
      <c r="O49" s="177">
        <f>IF(O47-O48&gt;0,O47-O48,0)</f>
        <v>0</v>
      </c>
      <c r="P49" s="178"/>
      <c r="Q49" s="378"/>
      <c r="R49" s="379"/>
      <c r="S49" s="187"/>
      <c r="T49" s="85">
        <v>80000</v>
      </c>
      <c r="V49" s="85">
        <v>0</v>
      </c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</row>
    <row r="50" spans="1:44" ht="12.75">
      <c r="A50" s="190" t="s">
        <v>146</v>
      </c>
      <c r="B50" s="190"/>
      <c r="C50" s="190"/>
      <c r="D50" s="190"/>
      <c r="E50" s="191" t="str">
        <f>IF(Lordo&gt;0,VLOOKUP(ReddNetto,Aliquote,3),Vuota1)</f>
        <v>        </v>
      </c>
      <c r="F50" s="191"/>
      <c r="G50" s="41"/>
      <c r="H50" s="41"/>
      <c r="I50" s="41"/>
      <c r="J50" s="41"/>
      <c r="K50" s="41"/>
      <c r="L50" s="41"/>
      <c r="M50" s="41"/>
      <c r="N50" s="41"/>
      <c r="O50" s="41"/>
      <c r="P50" s="73"/>
      <c r="Q50" s="378"/>
      <c r="R50" s="379"/>
      <c r="S50" s="18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</row>
    <row r="51" spans="1:44" ht="12.75">
      <c r="A51" s="57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62"/>
      <c r="Q51" s="378"/>
      <c r="R51" s="379"/>
      <c r="S51" s="187"/>
      <c r="T51" s="86">
        <v>0</v>
      </c>
      <c r="V51">
        <v>0</v>
      </c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</row>
    <row r="52" spans="1:44" ht="13.5">
      <c r="A52" s="168" t="s">
        <v>21</v>
      </c>
      <c r="B52" s="169"/>
      <c r="C52" s="169"/>
      <c r="D52" s="153"/>
      <c r="E52" s="163" t="s">
        <v>22</v>
      </c>
      <c r="F52" s="154"/>
      <c r="G52" s="164"/>
      <c r="H52" s="163" t="s">
        <v>23</v>
      </c>
      <c r="I52" s="154"/>
      <c r="J52" s="164"/>
      <c r="K52" s="163" t="s">
        <v>24</v>
      </c>
      <c r="L52" s="164"/>
      <c r="M52" s="52" t="s">
        <v>25</v>
      </c>
      <c r="N52" s="163" t="s">
        <v>26</v>
      </c>
      <c r="O52" s="164"/>
      <c r="P52" s="62"/>
      <c r="Q52" s="378"/>
      <c r="R52" s="379"/>
      <c r="S52" s="187"/>
      <c r="T52" s="86">
        <v>29000.01</v>
      </c>
      <c r="V52">
        <v>10</v>
      </c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</row>
    <row r="53" spans="1:44" ht="12.75">
      <c r="A53" s="163" t="s">
        <v>27</v>
      </c>
      <c r="B53" s="154"/>
      <c r="C53" s="154"/>
      <c r="D53" s="164"/>
      <c r="E53" s="53"/>
      <c r="F53" s="2">
        <v>1.4</v>
      </c>
      <c r="G53" s="53"/>
      <c r="H53" s="175">
        <f>+ReddNetto</f>
        <v>0</v>
      </c>
      <c r="I53" s="219"/>
      <c r="J53" s="176"/>
      <c r="K53" s="175">
        <f>ROUND(H53*F53%,5)</f>
        <v>0</v>
      </c>
      <c r="L53" s="176"/>
      <c r="M53" s="2">
        <v>11</v>
      </c>
      <c r="N53" s="175">
        <f>ROUND(K53/M53,5)</f>
        <v>0</v>
      </c>
      <c r="O53" s="176"/>
      <c r="P53" s="62"/>
      <c r="Q53" s="378"/>
      <c r="R53" s="379"/>
      <c r="S53" s="187"/>
      <c r="T53" s="86">
        <v>29200.01</v>
      </c>
      <c r="V53">
        <v>20</v>
      </c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</row>
    <row r="54" spans="1:44" ht="12.75">
      <c r="A54" s="163" t="s">
        <v>28</v>
      </c>
      <c r="B54" s="154"/>
      <c r="C54" s="154"/>
      <c r="D54" s="164"/>
      <c r="E54" s="53"/>
      <c r="F54" s="2">
        <v>0.4</v>
      </c>
      <c r="G54" s="53"/>
      <c r="H54" s="175">
        <f>+ReddNetto</f>
        <v>0</v>
      </c>
      <c r="I54" s="219"/>
      <c r="J54" s="176"/>
      <c r="K54" s="175">
        <f>ROUND(H54*F54%,5)</f>
        <v>0</v>
      </c>
      <c r="L54" s="176"/>
      <c r="M54" s="2">
        <v>11</v>
      </c>
      <c r="N54" s="175">
        <f>ROUND(K54/M54,5)</f>
        <v>0</v>
      </c>
      <c r="O54" s="176"/>
      <c r="P54" s="62"/>
      <c r="Q54" s="378"/>
      <c r="R54" s="379"/>
      <c r="S54" s="187"/>
      <c r="T54" s="86">
        <v>34700.01</v>
      </c>
      <c r="V54">
        <v>30</v>
      </c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</row>
    <row r="55" spans="1:44" ht="12.75">
      <c r="A55" s="282" t="s">
        <v>87</v>
      </c>
      <c r="B55" s="282"/>
      <c r="C55" s="84">
        <v>16</v>
      </c>
      <c r="D55" s="282" t="s">
        <v>88</v>
      </c>
      <c r="E55" s="282"/>
      <c r="F55" s="282"/>
      <c r="G55" s="282"/>
      <c r="H55" s="283" t="s">
        <v>89</v>
      </c>
      <c r="I55" s="283"/>
      <c r="J55" s="20"/>
      <c r="K55" s="20"/>
      <c r="L55" s="20"/>
      <c r="M55" s="20"/>
      <c r="N55" s="20"/>
      <c r="O55" s="20"/>
      <c r="P55" s="62"/>
      <c r="Q55" s="378"/>
      <c r="R55" s="379"/>
      <c r="S55" s="187"/>
      <c r="T55" s="86">
        <v>35000.01</v>
      </c>
      <c r="V55">
        <v>20</v>
      </c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</row>
    <row r="56" spans="1:44" ht="12.75">
      <c r="A56" s="47"/>
      <c r="B56" s="48"/>
      <c r="C56" s="43"/>
      <c r="D56" s="48"/>
      <c r="E56" s="48"/>
      <c r="F56" s="48"/>
      <c r="G56" s="48"/>
      <c r="H56" s="43"/>
      <c r="I56" s="43"/>
      <c r="J56" s="20"/>
      <c r="K56" s="20"/>
      <c r="L56" s="20"/>
      <c r="M56" s="20"/>
      <c r="N56" s="20"/>
      <c r="O56" s="20"/>
      <c r="P56" s="62"/>
      <c r="Q56" s="378"/>
      <c r="R56" s="379"/>
      <c r="S56" s="187"/>
      <c r="T56" s="86">
        <v>35100.01</v>
      </c>
      <c r="V56">
        <v>10</v>
      </c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</row>
    <row r="57" spans="1:44" ht="12.75" customHeight="1">
      <c r="A57" s="175" t="s">
        <v>91</v>
      </c>
      <c r="B57" s="219"/>
      <c r="C57" s="176"/>
      <c r="D57" s="284">
        <f>ROUND(K54*30%,2)</f>
        <v>0</v>
      </c>
      <c r="E57" s="285"/>
      <c r="F57" s="2">
        <v>9</v>
      </c>
      <c r="G57" s="175">
        <f>ROUND(D57/F57,2)</f>
        <v>0</v>
      </c>
      <c r="H57" s="176"/>
      <c r="I57" s="20"/>
      <c r="J57" s="20"/>
      <c r="K57" s="20"/>
      <c r="L57" s="20"/>
      <c r="M57" s="20"/>
      <c r="N57" s="20"/>
      <c r="O57" s="20"/>
      <c r="P57" s="62"/>
      <c r="Q57" s="378"/>
      <c r="R57" s="379"/>
      <c r="S57" s="187"/>
      <c r="T57" s="86">
        <v>35200.01</v>
      </c>
      <c r="V57">
        <v>0</v>
      </c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</row>
    <row r="58" spans="1:44" ht="12.75">
      <c r="A58" s="239" t="s">
        <v>92</v>
      </c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81"/>
      <c r="Q58" s="378"/>
      <c r="R58" s="379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</row>
    <row r="59" spans="19:23" ht="12.75">
      <c r="S59" t="s">
        <v>46</v>
      </c>
      <c r="T59" s="19" t="s">
        <v>47</v>
      </c>
      <c r="U59" s="171" t="s">
        <v>52</v>
      </c>
      <c r="V59" s="18" t="s">
        <v>48</v>
      </c>
      <c r="W59" s="18" t="s">
        <v>53</v>
      </c>
    </row>
    <row r="60" spans="20:23" ht="12.75">
      <c r="T60" s="86">
        <v>95000</v>
      </c>
      <c r="U60" s="171"/>
      <c r="V60" s="85">
        <v>15000</v>
      </c>
      <c r="W60" s="85">
        <f>IF(U61&gt;1,ROUND((U61-1)*V60,2)+T60,T60)</f>
        <v>95000</v>
      </c>
    </row>
    <row r="61" spans="20:25" ht="12.75">
      <c r="T61" s="18" t="s">
        <v>55</v>
      </c>
      <c r="U61">
        <f>+N_Fgl</f>
        <v>0</v>
      </c>
      <c r="V61" s="18" t="s">
        <v>54</v>
      </c>
      <c r="W61" s="18" t="s">
        <v>45</v>
      </c>
      <c r="X61" s="18"/>
      <c r="Y61" s="18" t="s">
        <v>41</v>
      </c>
    </row>
    <row r="62" spans="19:28" ht="12.75">
      <c r="S62" t="s">
        <v>51</v>
      </c>
      <c r="T62" s="85">
        <f>IF(Som_fg&gt;3,1000,800)</f>
        <v>800</v>
      </c>
      <c r="V62" s="85">
        <f>ROUND(fgl*VLOOKUP($Y$62,IndRapp,2),5)</f>
        <v>0</v>
      </c>
      <c r="W62" s="16">
        <v>0</v>
      </c>
      <c r="X62">
        <v>0</v>
      </c>
      <c r="Y62" s="83">
        <f>ROUND((ImFisFin-Lordo)/ImFisFin,6)</f>
        <v>1</v>
      </c>
      <c r="AA62" s="85">
        <f>+dsfig</f>
        <v>0</v>
      </c>
      <c r="AB62" s="85">
        <f>+AA62</f>
        <v>0</v>
      </c>
    </row>
    <row r="63" spans="19:28" ht="12.75">
      <c r="S63" t="s">
        <v>49</v>
      </c>
      <c r="T63" s="85">
        <f>IF(Som_fg&gt;3,1100,900)</f>
        <v>900</v>
      </c>
      <c r="V63" s="85">
        <f>ROUND(T63*VLOOKUP($Y$62,IndRapp,2),5)</f>
        <v>0</v>
      </c>
      <c r="W63" s="13">
        <v>0.0001</v>
      </c>
      <c r="X63">
        <f>+Y62</f>
        <v>1</v>
      </c>
      <c r="AA63" s="85">
        <f>+dsfg3</f>
        <v>0</v>
      </c>
      <c r="AB63" s="85">
        <f>+AA63</f>
        <v>0</v>
      </c>
    </row>
    <row r="64" spans="19:28" ht="12.75">
      <c r="S64" t="s">
        <v>50</v>
      </c>
      <c r="T64" s="85">
        <v>220</v>
      </c>
      <c r="V64" s="85">
        <f>ROUND(fglh*VLOOKUP($Y$62,IndRapp,2),5)</f>
        <v>0</v>
      </c>
      <c r="W64" s="12">
        <v>1</v>
      </c>
      <c r="X64">
        <v>0</v>
      </c>
      <c r="AA64" s="85">
        <f>+dsfhc</f>
        <v>0</v>
      </c>
      <c r="AB64" s="85">
        <f>+AA64</f>
        <v>0</v>
      </c>
    </row>
    <row r="65" spans="22:24" ht="12.75">
      <c r="V65" s="85"/>
      <c r="W65" s="12">
        <v>10</v>
      </c>
      <c r="X65">
        <f>+Y62</f>
        <v>1</v>
      </c>
    </row>
    <row r="66" spans="19:22" ht="12.75">
      <c r="S66" t="s">
        <v>57</v>
      </c>
      <c r="T66">
        <v>750</v>
      </c>
      <c r="V66" s="85">
        <f>ROUND(Altri*VLOOKUP(Y67,Rapp_Altri,2),5)</f>
        <v>0</v>
      </c>
    </row>
    <row r="67" ht="12.75">
      <c r="Y67" s="83">
        <f>ROUND((80000-Lordo)/80000,6)</f>
        <v>1</v>
      </c>
    </row>
    <row r="68" spans="19:25" ht="12.75">
      <c r="S68" t="s">
        <v>72</v>
      </c>
      <c r="V68" t="s">
        <v>41</v>
      </c>
      <c r="X68" s="16">
        <v>0</v>
      </c>
      <c r="Y68">
        <v>0</v>
      </c>
    </row>
    <row r="69" spans="19:25" ht="12.75">
      <c r="S69" s="85">
        <v>1</v>
      </c>
      <c r="T69" s="85">
        <v>1840</v>
      </c>
      <c r="V69" s="83">
        <f>IF(ROUND((15000-Lordo)/7000,6)&gt;0,ROUND((15000-Lordo)/7000,6),0)</f>
        <v>2.142857</v>
      </c>
      <c r="X69" s="13">
        <v>0.0001</v>
      </c>
      <c r="Y69" s="83">
        <f>+Y67</f>
        <v>1</v>
      </c>
    </row>
    <row r="70" spans="19:25" ht="12.75">
      <c r="S70" s="85">
        <v>8000.01</v>
      </c>
      <c r="T70" s="85">
        <f>1338+ROUND(502*V69,2)</f>
        <v>2413.71</v>
      </c>
      <c r="V70">
        <f>ROUND((55000-Lordo)/40000,5)</f>
        <v>1.375</v>
      </c>
      <c r="X70" s="12">
        <v>1</v>
      </c>
      <c r="Y70">
        <v>0</v>
      </c>
    </row>
    <row r="71" spans="19:25" ht="12.75">
      <c r="S71" s="85">
        <v>15000.01</v>
      </c>
      <c r="T71" s="85">
        <f>ROUND(1338*V70,2)</f>
        <v>1839.75</v>
      </c>
      <c r="X71" s="12">
        <v>10</v>
      </c>
      <c r="Y71" s="83">
        <f>+Y67</f>
        <v>1</v>
      </c>
    </row>
    <row r="72" spans="19:25" ht="12.75">
      <c r="S72" s="85">
        <v>55000.01</v>
      </c>
      <c r="T72" s="85">
        <v>0</v>
      </c>
      <c r="X72" s="12"/>
      <c r="Y72" s="83"/>
    </row>
    <row r="73" spans="19:20" ht="12.75">
      <c r="S73" s="85">
        <v>100000000</v>
      </c>
      <c r="T73" s="85">
        <v>0</v>
      </c>
    </row>
    <row r="75" spans="19:20" ht="12.75">
      <c r="S75" s="86">
        <v>0</v>
      </c>
      <c r="T75">
        <v>0</v>
      </c>
    </row>
    <row r="76" spans="19:20" ht="12.75">
      <c r="S76" s="86">
        <v>23000.01</v>
      </c>
      <c r="T76">
        <v>10</v>
      </c>
    </row>
    <row r="77" spans="19:20" ht="12.75">
      <c r="S77" s="86">
        <v>24000.01</v>
      </c>
      <c r="T77">
        <v>20</v>
      </c>
    </row>
    <row r="78" spans="19:20" ht="12.75">
      <c r="S78" s="86">
        <v>25000.01</v>
      </c>
      <c r="T78">
        <v>30</v>
      </c>
    </row>
    <row r="79" spans="19:20" ht="12.75">
      <c r="S79" s="86">
        <v>26000.01</v>
      </c>
      <c r="T79">
        <v>40</v>
      </c>
    </row>
    <row r="80" spans="19:20" ht="12.75">
      <c r="S80" s="86">
        <v>27700.01</v>
      </c>
      <c r="T80">
        <v>25</v>
      </c>
    </row>
    <row r="81" spans="19:20" ht="12.75">
      <c r="S81" s="86">
        <v>28000.01</v>
      </c>
      <c r="T81">
        <v>0</v>
      </c>
    </row>
  </sheetData>
  <sheetProtection password="BE24" sheet="1" objects="1" scenarios="1" selectLockedCells="1"/>
  <mergeCells count="112">
    <mergeCell ref="M17:O17"/>
    <mergeCell ref="E17:G17"/>
    <mergeCell ref="M12:O12"/>
    <mergeCell ref="M13:O13"/>
    <mergeCell ref="M14:O14"/>
    <mergeCell ref="M15:O15"/>
    <mergeCell ref="M8:P8"/>
    <mergeCell ref="N9:P9"/>
    <mergeCell ref="M10:O10"/>
    <mergeCell ref="M11:O11"/>
    <mergeCell ref="A50:D50"/>
    <mergeCell ref="E50:F50"/>
    <mergeCell ref="A16:D16"/>
    <mergeCell ref="E16:G16"/>
    <mergeCell ref="A38:L38"/>
    <mergeCell ref="A37:L37"/>
    <mergeCell ref="A33:C33"/>
    <mergeCell ref="A21:C21"/>
    <mergeCell ref="A36:P36"/>
    <mergeCell ref="B24:D24"/>
    <mergeCell ref="H16:K16"/>
    <mergeCell ref="H17:K17"/>
    <mergeCell ref="E15:G15"/>
    <mergeCell ref="A14:D14"/>
    <mergeCell ref="H11:K11"/>
    <mergeCell ref="A15:D15"/>
    <mergeCell ref="E14:G14"/>
    <mergeCell ref="H14:K14"/>
    <mergeCell ref="H15:K15"/>
    <mergeCell ref="A1:P1"/>
    <mergeCell ref="A2:P2"/>
    <mergeCell ref="A3:P3"/>
    <mergeCell ref="D5:I5"/>
    <mergeCell ref="J5:L5"/>
    <mergeCell ref="J4:K4"/>
    <mergeCell ref="B4:G4"/>
    <mergeCell ref="M4:P4"/>
    <mergeCell ref="M6:P6"/>
    <mergeCell ref="R36:R37"/>
    <mergeCell ref="R40:R41"/>
    <mergeCell ref="S1:V1"/>
    <mergeCell ref="S12:W12"/>
    <mergeCell ref="S19:S57"/>
    <mergeCell ref="T19:T37"/>
    <mergeCell ref="T39:T42"/>
    <mergeCell ref="K33:O34"/>
    <mergeCell ref="N5:P5"/>
    <mergeCell ref="U59:U60"/>
    <mergeCell ref="A40:P40"/>
    <mergeCell ref="K54:L54"/>
    <mergeCell ref="O49:P49"/>
    <mergeCell ref="O47:P47"/>
    <mergeCell ref="K52:L52"/>
    <mergeCell ref="N53:O53"/>
    <mergeCell ref="N54:O54"/>
    <mergeCell ref="A42:P42"/>
    <mergeCell ref="A52:D52"/>
    <mergeCell ref="A54:D54"/>
    <mergeCell ref="A43:F43"/>
    <mergeCell ref="K44:N44"/>
    <mergeCell ref="H52:J52"/>
    <mergeCell ref="K53:L53"/>
    <mergeCell ref="H53:J53"/>
    <mergeCell ref="E52:G52"/>
    <mergeCell ref="A53:D53"/>
    <mergeCell ref="H54:J54"/>
    <mergeCell ref="A46:N46"/>
    <mergeCell ref="P33:P34"/>
    <mergeCell ref="A39:L39"/>
    <mergeCell ref="N52:O52"/>
    <mergeCell ref="O48:P48"/>
    <mergeCell ref="O46:P46"/>
    <mergeCell ref="I43:L43"/>
    <mergeCell ref="A41:L41"/>
    <mergeCell ref="A47:N47"/>
    <mergeCell ref="A48:N48"/>
    <mergeCell ref="A49:N49"/>
    <mergeCell ref="M25:O27"/>
    <mergeCell ref="A7:G7"/>
    <mergeCell ref="A20:P20"/>
    <mergeCell ref="E10:G10"/>
    <mergeCell ref="E11:G11"/>
    <mergeCell ref="E12:G12"/>
    <mergeCell ref="H9:K9"/>
    <mergeCell ref="E9:G9"/>
    <mergeCell ref="E8:G8"/>
    <mergeCell ref="P25:P27"/>
    <mergeCell ref="AE1:AG2"/>
    <mergeCell ref="AE21:AG26"/>
    <mergeCell ref="AE4:AG4"/>
    <mergeCell ref="AE5:AG5"/>
    <mergeCell ref="AE3:AG3"/>
    <mergeCell ref="A6:B6"/>
    <mergeCell ref="E13:G13"/>
    <mergeCell ref="H10:K10"/>
    <mergeCell ref="H18:K18"/>
    <mergeCell ref="H7:L7"/>
    <mergeCell ref="H8:K8"/>
    <mergeCell ref="C6:G6"/>
    <mergeCell ref="I6:K6"/>
    <mergeCell ref="H12:K12"/>
    <mergeCell ref="H13:K13"/>
    <mergeCell ref="E24:G24"/>
    <mergeCell ref="H24:J24"/>
    <mergeCell ref="A35:P35"/>
    <mergeCell ref="A58:P58"/>
    <mergeCell ref="A55:B55"/>
    <mergeCell ref="D55:G55"/>
    <mergeCell ref="H55:I55"/>
    <mergeCell ref="A57:C57"/>
    <mergeCell ref="D57:E57"/>
    <mergeCell ref="G57:H57"/>
  </mergeCells>
  <conditionalFormatting sqref="J27">
    <cfRule type="expression" priority="1" dxfId="0" stopIfTrue="1">
      <formula>$D$23&gt;2</formula>
    </cfRule>
  </conditionalFormatting>
  <conditionalFormatting sqref="J28">
    <cfRule type="expression" priority="2" dxfId="0" stopIfTrue="1">
      <formula>$D$23&gt;3</formula>
    </cfRule>
  </conditionalFormatting>
  <conditionalFormatting sqref="J29">
    <cfRule type="expression" priority="3" dxfId="0" stopIfTrue="1">
      <formula>$D$23&gt;4</formula>
    </cfRule>
  </conditionalFormatting>
  <conditionalFormatting sqref="J30">
    <cfRule type="expression" priority="4" dxfId="0" stopIfTrue="1">
      <formula>$D$23&gt;5</formula>
    </cfRule>
  </conditionalFormatting>
  <conditionalFormatting sqref="J31">
    <cfRule type="expression" priority="5" dxfId="0" stopIfTrue="1">
      <formula>$D$23&gt;6</formula>
    </cfRule>
  </conditionalFormatting>
  <conditionalFormatting sqref="L25">
    <cfRule type="expression" priority="6" dxfId="1" stopIfTrue="1">
      <formula>$D$23&gt;0</formula>
    </cfRule>
  </conditionalFormatting>
  <conditionalFormatting sqref="L26">
    <cfRule type="expression" priority="7" dxfId="1" stopIfTrue="1">
      <formula>$D$23&gt;1</formula>
    </cfRule>
  </conditionalFormatting>
  <conditionalFormatting sqref="L27">
    <cfRule type="expression" priority="8" dxfId="1" stopIfTrue="1">
      <formula>$D$23&gt;2</formula>
    </cfRule>
  </conditionalFormatting>
  <conditionalFormatting sqref="L28">
    <cfRule type="expression" priority="9" dxfId="1" stopIfTrue="1">
      <formula>$D$23&gt;3</formula>
    </cfRule>
  </conditionalFormatting>
  <conditionalFormatting sqref="L29">
    <cfRule type="expression" priority="10" dxfId="1" stopIfTrue="1">
      <formula>$D$23&gt;4</formula>
    </cfRule>
  </conditionalFormatting>
  <conditionalFormatting sqref="L30">
    <cfRule type="expression" priority="11" dxfId="1" stopIfTrue="1">
      <formula>$D$23&gt;5</formula>
    </cfRule>
  </conditionalFormatting>
  <conditionalFormatting sqref="L31">
    <cfRule type="expression" priority="12" dxfId="1" stopIfTrue="1">
      <formula>$D$23&gt;6</formula>
    </cfRule>
  </conditionalFormatting>
  <conditionalFormatting sqref="A26">
    <cfRule type="expression" priority="13" dxfId="2" stopIfTrue="1">
      <formula>$D$23&gt;1</formula>
    </cfRule>
  </conditionalFormatting>
  <conditionalFormatting sqref="A25 D25 G25 J25">
    <cfRule type="expression" priority="14" dxfId="2" stopIfTrue="1">
      <formula>$D$23&gt;0</formula>
    </cfRule>
  </conditionalFormatting>
  <conditionalFormatting sqref="B25">
    <cfRule type="expression" priority="15" dxfId="3" stopIfTrue="1">
      <formula>$D$23&gt;0</formula>
    </cfRule>
  </conditionalFormatting>
  <conditionalFormatting sqref="E25 H25">
    <cfRule type="expression" priority="16" dxfId="4" stopIfTrue="1">
      <formula>$D$23&gt;0</formula>
    </cfRule>
  </conditionalFormatting>
  <conditionalFormatting sqref="I21">
    <cfRule type="expression" priority="17" dxfId="5" stopIfTrue="1">
      <formula>$D$21="si"</formula>
    </cfRule>
  </conditionalFormatting>
  <conditionalFormatting sqref="N23 C25 F25 I25 K25">
    <cfRule type="expression" priority="18" dxfId="5" stopIfTrue="1">
      <formula>$D$23&gt;0</formula>
    </cfRule>
  </conditionalFormatting>
  <conditionalFormatting sqref="P23">
    <cfRule type="expression" priority="19" dxfId="5" stopIfTrue="1">
      <formula>$N$23&gt;0</formula>
    </cfRule>
  </conditionalFormatting>
  <conditionalFormatting sqref="C26 F26 I26 K26">
    <cfRule type="expression" priority="20" dxfId="5" stopIfTrue="1">
      <formula>$D$23&gt;1</formula>
    </cfRule>
  </conditionalFormatting>
  <conditionalFormatting sqref="C27 F27 I27 K27">
    <cfRule type="expression" priority="21" dxfId="5" stopIfTrue="1">
      <formula>$D$23&gt;2</formula>
    </cfRule>
  </conditionalFormatting>
  <conditionalFormatting sqref="C28 F28 I28 K28">
    <cfRule type="expression" priority="22" dxfId="5" stopIfTrue="1">
      <formula>$D$23&gt;3</formula>
    </cfRule>
  </conditionalFormatting>
  <conditionalFormatting sqref="C29 F29 I29 K29">
    <cfRule type="expression" priority="23" dxfId="5" stopIfTrue="1">
      <formula>$D$23&gt;4</formula>
    </cfRule>
  </conditionalFormatting>
  <conditionalFormatting sqref="C30 F30 I30 K30">
    <cfRule type="expression" priority="24" dxfId="5" stopIfTrue="1">
      <formula>$D$23&gt;5</formula>
    </cfRule>
  </conditionalFormatting>
  <conditionalFormatting sqref="C31 F31 I31 K31">
    <cfRule type="expression" priority="25" dxfId="5" stopIfTrue="1">
      <formula>$D$23&gt;6</formula>
    </cfRule>
  </conditionalFormatting>
  <conditionalFormatting sqref="I34">
    <cfRule type="expression" priority="26" dxfId="5" stopIfTrue="1">
      <formula>$D$33="si"</formula>
    </cfRule>
  </conditionalFormatting>
  <conditionalFormatting sqref="I33 P33:P34">
    <cfRule type="expression" priority="27" dxfId="5" stopIfTrue="1">
      <formula>$D$33&gt;0</formula>
    </cfRule>
  </conditionalFormatting>
  <conditionalFormatting sqref="K33:O34">
    <cfRule type="expression" priority="28" dxfId="1" stopIfTrue="1">
      <formula>$D$33&gt;0</formula>
    </cfRule>
  </conditionalFormatting>
  <conditionalFormatting sqref="B26 D26:E26 G26:H26 J26">
    <cfRule type="expression" priority="29" dxfId="3" stopIfTrue="1">
      <formula>$D$23&gt;1</formula>
    </cfRule>
  </conditionalFormatting>
  <conditionalFormatting sqref="B27 D27:E27 G27:H27">
    <cfRule type="expression" priority="30" dxfId="3" stopIfTrue="1">
      <formula>$D$23&gt;2</formula>
    </cfRule>
  </conditionalFormatting>
  <conditionalFormatting sqref="A27">
    <cfRule type="expression" priority="31" dxfId="2" stopIfTrue="1">
      <formula>$D$23&gt;2</formula>
    </cfRule>
  </conditionalFormatting>
  <conditionalFormatting sqref="A28">
    <cfRule type="expression" priority="32" dxfId="2" stopIfTrue="1">
      <formula>$D$23&gt;3</formula>
    </cfRule>
  </conditionalFormatting>
  <conditionalFormatting sqref="B28 D28:E28 G28:H28">
    <cfRule type="expression" priority="33" dxfId="3" stopIfTrue="1">
      <formula>$D$23&gt;3</formula>
    </cfRule>
  </conditionalFormatting>
  <conditionalFormatting sqref="A29">
    <cfRule type="expression" priority="34" dxfId="2" stopIfTrue="1">
      <formula>$D$23&gt;4</formula>
    </cfRule>
  </conditionalFormatting>
  <conditionalFormatting sqref="B29 D29:E29 G29:H29">
    <cfRule type="expression" priority="35" dxfId="3" stopIfTrue="1">
      <formula>$D$23&gt;4</formula>
    </cfRule>
  </conditionalFormatting>
  <conditionalFormatting sqref="A30">
    <cfRule type="expression" priority="36" dxfId="2" stopIfTrue="1">
      <formula>$D$23&gt;5</formula>
    </cfRule>
  </conditionalFormatting>
  <conditionalFormatting sqref="B30 D30:E30 G30:H30">
    <cfRule type="expression" priority="37" dxfId="3" stopIfTrue="1">
      <formula>$D$23&gt;5</formula>
    </cfRule>
  </conditionalFormatting>
  <conditionalFormatting sqref="A31">
    <cfRule type="expression" priority="38" dxfId="2" stopIfTrue="1">
      <formula>$D$23&gt;6</formula>
    </cfRule>
  </conditionalFormatting>
  <conditionalFormatting sqref="B31 D31:E31 G31:H31">
    <cfRule type="expression" priority="39" dxfId="3" stopIfTrue="1">
      <formula>$D$23&gt;6</formula>
    </cfRule>
  </conditionalFormatting>
  <printOptions/>
  <pageMargins left="0.1968503937007874" right="0" top="0.984251968503937" bottom="0.5905511811023623" header="0.5118110236220472" footer="0.5118110236220472"/>
  <pageSetup blackAndWhite="1" horizontalDpi="360" verticalDpi="36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7"/>
  <dimension ref="A1:BG124"/>
  <sheetViews>
    <sheetView workbookViewId="0" topLeftCell="A15">
      <selection activeCell="O50" sqref="O50:P50"/>
    </sheetView>
  </sheetViews>
  <sheetFormatPr defaultColWidth="9.33203125" defaultRowHeight="12.75"/>
  <cols>
    <col min="1" max="1" width="15.5" style="0" customWidth="1"/>
    <col min="2" max="10" width="4.83203125" style="0" customWidth="1"/>
    <col min="11" max="11" width="11.66015625" style="0" bestFit="1" customWidth="1"/>
    <col min="12" max="13" width="11.83203125" style="0" customWidth="1"/>
    <col min="14" max="14" width="4.83203125" style="0" customWidth="1"/>
    <col min="15" max="15" width="12.83203125" style="0" customWidth="1"/>
    <col min="16" max="16" width="9.16015625" style="0" customWidth="1"/>
    <col min="17" max="17" width="15.5" style="0" hidden="1" customWidth="1"/>
    <col min="18" max="26" width="4.83203125" style="0" hidden="1" customWidth="1"/>
    <col min="27" max="27" width="11.66015625" style="0" hidden="1" customWidth="1"/>
    <col min="28" max="29" width="11.83203125" style="0" hidden="1" customWidth="1"/>
    <col min="30" max="30" width="4.83203125" style="0" hidden="1" customWidth="1"/>
    <col min="31" max="31" width="12.83203125" style="0" hidden="1" customWidth="1"/>
    <col min="32" max="32" width="11" style="0" hidden="1" customWidth="1"/>
    <col min="33" max="33" width="5.16015625" style="0" hidden="1" customWidth="1"/>
    <col min="34" max="34" width="10.5" style="0" hidden="1" customWidth="1"/>
    <col min="35" max="35" width="15.16015625" style="0" hidden="1" customWidth="1"/>
    <col min="36" max="36" width="16.83203125" style="0" hidden="1" customWidth="1"/>
    <col min="37" max="37" width="6.66015625" style="0" hidden="1" customWidth="1"/>
    <col min="38" max="38" width="12.83203125" style="0" hidden="1" customWidth="1"/>
    <col min="39" max="39" width="11.5" style="0" hidden="1" customWidth="1"/>
    <col min="40" max="45" width="0" style="0" hidden="1" customWidth="1"/>
    <col min="46" max="46" width="3.66015625" style="0" customWidth="1"/>
    <col min="49" max="49" width="13.66015625" style="0" customWidth="1"/>
  </cols>
  <sheetData>
    <row r="1" spans="1:59" ht="16.5" thickTop="1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3"/>
      <c r="Q1" s="201" t="s">
        <v>0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3"/>
      <c r="AI1" s="185" t="s">
        <v>29</v>
      </c>
      <c r="AJ1" s="185"/>
      <c r="AK1" s="185"/>
      <c r="AL1" s="185"/>
      <c r="AM1" s="135" t="s">
        <v>68</v>
      </c>
      <c r="AT1" s="77"/>
      <c r="AU1" s="247" t="s">
        <v>84</v>
      </c>
      <c r="AV1" s="248"/>
      <c r="AW1" s="249"/>
      <c r="AX1" s="77"/>
      <c r="AY1" s="77"/>
      <c r="AZ1" s="77"/>
      <c r="BA1" s="77"/>
      <c r="BB1" s="77"/>
      <c r="BC1" s="77"/>
      <c r="BD1" s="77"/>
      <c r="BE1" s="77"/>
      <c r="BF1" s="77"/>
      <c r="BG1" s="77"/>
    </row>
    <row r="2" spans="1:59" ht="15.75">
      <c r="A2" s="204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  <c r="Q2" s="204" t="s">
        <v>1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6"/>
      <c r="AI2" s="5" t="s">
        <v>30</v>
      </c>
      <c r="AJ2" s="5" t="s">
        <v>31</v>
      </c>
      <c r="AK2" s="6" t="s">
        <v>18</v>
      </c>
      <c r="AL2" s="5" t="s">
        <v>37</v>
      </c>
      <c r="AN2" s="134"/>
      <c r="AT2" s="77"/>
      <c r="AU2" s="250"/>
      <c r="AV2" s="251"/>
      <c r="AW2" s="252"/>
      <c r="AX2" s="77"/>
      <c r="AY2" s="77"/>
      <c r="AZ2" s="77"/>
      <c r="BA2" s="77"/>
      <c r="BB2" s="77"/>
      <c r="BC2" s="77"/>
      <c r="BD2" s="77"/>
      <c r="BE2" s="77"/>
      <c r="BF2" s="77"/>
      <c r="BG2" s="77"/>
    </row>
    <row r="3" spans="1:59" ht="15.75">
      <c r="A3" s="207" t="s">
        <v>110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9"/>
      <c r="Q3" s="207" t="s">
        <v>85</v>
      </c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9"/>
      <c r="AI3" s="7">
        <v>1</v>
      </c>
      <c r="AJ3" s="7">
        <f>+Aliquote!C6</f>
        <v>15000</v>
      </c>
      <c r="AK3" s="8">
        <f>+Aliquote!D6</f>
        <v>0.23</v>
      </c>
      <c r="AL3" s="9"/>
      <c r="AT3" s="77"/>
      <c r="AU3" s="268"/>
      <c r="AV3" s="269"/>
      <c r="AW3" s="270"/>
      <c r="AX3" s="77"/>
      <c r="AY3" s="77"/>
      <c r="AZ3" s="77"/>
      <c r="BA3" s="77"/>
      <c r="BB3" s="77"/>
      <c r="BC3" s="77"/>
      <c r="BD3" s="77"/>
      <c r="BE3" s="77"/>
      <c r="BF3" s="77"/>
      <c r="BG3" s="77"/>
    </row>
    <row r="4" spans="1:59" ht="12.75" customHeight="1">
      <c r="A4" s="150" t="s">
        <v>138</v>
      </c>
      <c r="B4" s="214"/>
      <c r="C4" s="215"/>
      <c r="D4" s="215"/>
      <c r="E4" s="215"/>
      <c r="F4" s="215"/>
      <c r="G4" s="216"/>
      <c r="H4" s="58"/>
      <c r="I4" s="58"/>
      <c r="J4" s="213" t="s">
        <v>2</v>
      </c>
      <c r="K4" s="213"/>
      <c r="L4" s="2">
        <v>2007</v>
      </c>
      <c r="M4" s="20"/>
      <c r="N4" s="58"/>
      <c r="O4" s="58"/>
      <c r="P4" s="33"/>
      <c r="Q4" s="20"/>
      <c r="R4" s="58"/>
      <c r="S4" s="58"/>
      <c r="T4" s="58"/>
      <c r="U4" s="58"/>
      <c r="V4" s="58"/>
      <c r="W4" s="58"/>
      <c r="X4" s="58"/>
      <c r="Y4" s="58"/>
      <c r="Z4" s="213" t="s">
        <v>2</v>
      </c>
      <c r="AA4" s="213"/>
      <c r="AB4" s="2">
        <v>2007</v>
      </c>
      <c r="AC4" s="20"/>
      <c r="AD4" s="58"/>
      <c r="AE4" s="58"/>
      <c r="AF4" s="33"/>
      <c r="AI4" s="7">
        <f>+AJ3+0.01</f>
        <v>15000.01</v>
      </c>
      <c r="AJ4" s="7">
        <f>+Aliquote!C7</f>
        <v>28000</v>
      </c>
      <c r="AK4" s="8">
        <f>+Aliquote!D7</f>
        <v>0.27</v>
      </c>
      <c r="AL4" s="7">
        <f>ROUND(AI4*AK3,2)</f>
        <v>3450</v>
      </c>
      <c r="AT4" s="77"/>
      <c r="AU4" s="262" t="s">
        <v>81</v>
      </c>
      <c r="AV4" s="263"/>
      <c r="AW4" s="264"/>
      <c r="AX4" s="77"/>
      <c r="AY4" s="77"/>
      <c r="AZ4" s="77"/>
      <c r="BA4" s="77"/>
      <c r="BB4" s="77"/>
      <c r="BC4" s="77"/>
      <c r="BD4" s="77"/>
      <c r="BE4" s="77"/>
      <c r="BF4" s="77"/>
      <c r="BG4" s="77"/>
    </row>
    <row r="5" spans="1:59" ht="16.5" thickBot="1">
      <c r="A5" s="59" t="s">
        <v>3</v>
      </c>
      <c r="B5" s="60"/>
      <c r="C5" s="2" t="s">
        <v>4</v>
      </c>
      <c r="D5" s="210"/>
      <c r="E5" s="211"/>
      <c r="F5" s="211"/>
      <c r="G5" s="211"/>
      <c r="H5" s="211"/>
      <c r="I5" s="211"/>
      <c r="J5" s="211"/>
      <c r="K5" s="211"/>
      <c r="L5" s="212"/>
      <c r="M5" s="61" t="s">
        <v>5</v>
      </c>
      <c r="N5" s="214"/>
      <c r="O5" s="215"/>
      <c r="P5" s="216"/>
      <c r="Q5" s="59" t="s">
        <v>3</v>
      </c>
      <c r="R5" s="60"/>
      <c r="S5" s="2" t="s">
        <v>4</v>
      </c>
      <c r="T5" s="211"/>
      <c r="U5" s="211"/>
      <c r="V5" s="211"/>
      <c r="W5" s="211"/>
      <c r="X5" s="211"/>
      <c r="Y5" s="211"/>
      <c r="Z5" s="211"/>
      <c r="AA5" s="211"/>
      <c r="AB5" s="313"/>
      <c r="AC5" s="61" t="s">
        <v>5</v>
      </c>
      <c r="AD5" s="214"/>
      <c r="AE5" s="215"/>
      <c r="AF5" s="216"/>
      <c r="AH5" s="21"/>
      <c r="AI5" s="7">
        <f>+AJ4+0.01</f>
        <v>28000.01</v>
      </c>
      <c r="AJ5" s="7">
        <f>+Aliquote!C8</f>
        <v>55000</v>
      </c>
      <c r="AK5" s="8">
        <f>+Aliquote!D8</f>
        <v>0.38</v>
      </c>
      <c r="AL5" s="7">
        <f>ROUND((AI5-AI4)*AK4,2)+AL4</f>
        <v>6960</v>
      </c>
      <c r="AT5" s="77"/>
      <c r="AU5" s="265" t="s">
        <v>82</v>
      </c>
      <c r="AV5" s="266"/>
      <c r="AW5" s="267"/>
      <c r="AX5" s="77"/>
      <c r="AY5" s="77"/>
      <c r="AZ5" s="77"/>
      <c r="BA5" s="77"/>
      <c r="BB5" s="77"/>
      <c r="BC5" s="77"/>
      <c r="BD5" s="77"/>
      <c r="BE5" s="77"/>
      <c r="BF5" s="77"/>
      <c r="BG5" s="77"/>
    </row>
    <row r="6" spans="1:59" ht="12.75" customHeight="1" thickTop="1">
      <c r="A6" s="271" t="s">
        <v>6</v>
      </c>
      <c r="B6" s="272"/>
      <c r="C6" s="214"/>
      <c r="D6" s="276"/>
      <c r="E6" s="276"/>
      <c r="F6" s="276"/>
      <c r="G6" s="277"/>
      <c r="H6" s="60" t="s">
        <v>7</v>
      </c>
      <c r="I6" s="278"/>
      <c r="J6" s="279"/>
      <c r="K6" s="280"/>
      <c r="L6" s="48" t="s">
        <v>90</v>
      </c>
      <c r="M6" s="217"/>
      <c r="N6" s="218"/>
      <c r="O6" s="218"/>
      <c r="P6" s="183"/>
      <c r="Q6" s="317"/>
      <c r="R6" s="318"/>
      <c r="S6" s="318"/>
      <c r="T6" s="302" t="s">
        <v>6</v>
      </c>
      <c r="U6" s="302"/>
      <c r="V6" s="214"/>
      <c r="W6" s="215"/>
      <c r="X6" s="215"/>
      <c r="Y6" s="215"/>
      <c r="Z6" s="216"/>
      <c r="AA6" s="60" t="s">
        <v>7</v>
      </c>
      <c r="AB6" s="300"/>
      <c r="AC6" s="301"/>
      <c r="AD6" s="20"/>
      <c r="AE6" s="20"/>
      <c r="AF6" s="62"/>
      <c r="AH6" s="21"/>
      <c r="AI6" s="7">
        <f>+AJ5+0.01</f>
        <v>55000.01</v>
      </c>
      <c r="AJ6" s="7">
        <f>+Aliquote!C9</f>
        <v>75000</v>
      </c>
      <c r="AK6" s="8">
        <f>+Aliquote!D9</f>
        <v>0.41</v>
      </c>
      <c r="AL6" s="7">
        <f>ROUND((AI6-AI5)*AK5,2)+AL5</f>
        <v>17220</v>
      </c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</row>
    <row r="7" spans="1:59" ht="12.75" customHeight="1">
      <c r="A7" s="239" t="s">
        <v>8</v>
      </c>
      <c r="B7" s="240"/>
      <c r="C7" s="240"/>
      <c r="D7" s="240"/>
      <c r="E7" s="240"/>
      <c r="F7" s="240"/>
      <c r="G7" s="240"/>
      <c r="H7" s="158" t="s">
        <v>9</v>
      </c>
      <c r="I7" s="158"/>
      <c r="J7" s="158"/>
      <c r="K7" s="158"/>
      <c r="L7" s="158"/>
      <c r="M7" s="20"/>
      <c r="N7" s="20"/>
      <c r="O7" s="20"/>
      <c r="P7" s="62"/>
      <c r="Q7" s="239" t="s">
        <v>8</v>
      </c>
      <c r="R7" s="240"/>
      <c r="S7" s="240"/>
      <c r="T7" s="240"/>
      <c r="U7" s="240"/>
      <c r="V7" s="240"/>
      <c r="W7" s="240"/>
      <c r="X7" s="158" t="s">
        <v>9</v>
      </c>
      <c r="Y7" s="158"/>
      <c r="Z7" s="158"/>
      <c r="AA7" s="158"/>
      <c r="AB7" s="158"/>
      <c r="AC7" s="20"/>
      <c r="AD7" s="20"/>
      <c r="AE7" s="20"/>
      <c r="AF7" s="62"/>
      <c r="AH7" s="21"/>
      <c r="AI7" s="7">
        <f>+AJ6+0.01</f>
        <v>75000.01</v>
      </c>
      <c r="AJ7" s="7">
        <v>1000000</v>
      </c>
      <c r="AK7" s="8">
        <f>+Aliquote!D10</f>
        <v>0.43</v>
      </c>
      <c r="AL7" s="7">
        <f>ROUND((AI7-AI6)*AK6,2)+AL6</f>
        <v>25420</v>
      </c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</row>
    <row r="8" spans="1:59" ht="12.75">
      <c r="A8" s="27" t="s">
        <v>78</v>
      </c>
      <c r="B8" s="29"/>
      <c r="C8" s="29"/>
      <c r="D8" s="23"/>
      <c r="E8" s="195"/>
      <c r="F8" s="196"/>
      <c r="G8" s="197"/>
      <c r="H8" s="273" t="s">
        <v>10</v>
      </c>
      <c r="I8" s="274"/>
      <c r="J8" s="274"/>
      <c r="K8" s="275"/>
      <c r="L8" s="1"/>
      <c r="M8" s="20"/>
      <c r="N8" s="20"/>
      <c r="O8" s="20"/>
      <c r="P8" s="62"/>
      <c r="Q8" s="27" t="s">
        <v>78</v>
      </c>
      <c r="R8" s="29"/>
      <c r="S8" s="29"/>
      <c r="T8" s="23"/>
      <c r="U8" s="195">
        <f aca="true" t="shared" si="0" ref="U8:U13">ROUND(E8*13,5)</f>
        <v>0</v>
      </c>
      <c r="V8" s="196"/>
      <c r="W8" s="197"/>
      <c r="X8" s="273" t="s">
        <v>10</v>
      </c>
      <c r="Y8" s="274"/>
      <c r="Z8" s="274"/>
      <c r="AA8" s="275"/>
      <c r="AB8" s="1">
        <f aca="true" t="shared" si="1" ref="AB8:AB17">ROUND(L8*13,5)</f>
        <v>0</v>
      </c>
      <c r="AC8" s="20"/>
      <c r="AD8" s="20"/>
      <c r="AE8" s="20"/>
      <c r="AF8" s="62"/>
      <c r="AH8" s="21"/>
      <c r="AI8" s="7">
        <f>+AJ7+0.01</f>
        <v>1000000.01</v>
      </c>
      <c r="AJ8" s="10">
        <v>2000000</v>
      </c>
      <c r="AK8" s="11">
        <f>+AK7</f>
        <v>0.43</v>
      </c>
      <c r="AL8" s="10">
        <f>ROUND((AI8-AI7)*AK7,2)+AL7</f>
        <v>423170</v>
      </c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</row>
    <row r="9" spans="1:59" ht="12.75">
      <c r="A9" s="27" t="s">
        <v>11</v>
      </c>
      <c r="B9" s="29"/>
      <c r="C9" s="29"/>
      <c r="D9" s="23"/>
      <c r="E9" s="195"/>
      <c r="F9" s="196"/>
      <c r="G9" s="197"/>
      <c r="H9" s="198" t="s">
        <v>111</v>
      </c>
      <c r="I9" s="199"/>
      <c r="J9" s="199"/>
      <c r="K9" s="200"/>
      <c r="L9" s="1"/>
      <c r="M9" s="20"/>
      <c r="N9" s="20"/>
      <c r="O9" s="20"/>
      <c r="P9" s="62"/>
      <c r="Q9" s="27" t="s">
        <v>11</v>
      </c>
      <c r="R9" s="29"/>
      <c r="S9" s="29"/>
      <c r="T9" s="23"/>
      <c r="U9" s="195">
        <f t="shared" si="0"/>
        <v>0</v>
      </c>
      <c r="V9" s="196"/>
      <c r="W9" s="197"/>
      <c r="X9" s="198" t="s">
        <v>111</v>
      </c>
      <c r="Y9" s="199"/>
      <c r="Z9" s="199"/>
      <c r="AA9" s="200"/>
      <c r="AB9" s="1">
        <f t="shared" si="1"/>
        <v>0</v>
      </c>
      <c r="AC9" s="20"/>
      <c r="AD9" s="20"/>
      <c r="AE9" s="25" t="s">
        <v>117</v>
      </c>
      <c r="AF9" s="62"/>
      <c r="AH9" s="22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</row>
    <row r="10" spans="1:59" ht="12.75">
      <c r="A10" s="27" t="s">
        <v>12</v>
      </c>
      <c r="B10" s="29"/>
      <c r="C10" s="29"/>
      <c r="D10" s="23"/>
      <c r="E10" s="195"/>
      <c r="F10" s="196"/>
      <c r="G10" s="197"/>
      <c r="H10" s="198" t="s">
        <v>112</v>
      </c>
      <c r="I10" s="199"/>
      <c r="J10" s="199"/>
      <c r="K10" s="200"/>
      <c r="L10" s="1"/>
      <c r="M10" s="20"/>
      <c r="N10" s="20"/>
      <c r="O10" s="20"/>
      <c r="P10" s="62"/>
      <c r="Q10" s="27" t="s">
        <v>12</v>
      </c>
      <c r="R10" s="29"/>
      <c r="S10" s="29"/>
      <c r="T10" s="23"/>
      <c r="U10" s="195">
        <f t="shared" si="0"/>
        <v>0</v>
      </c>
      <c r="V10" s="196"/>
      <c r="W10" s="197"/>
      <c r="X10" s="198" t="s">
        <v>112</v>
      </c>
      <c r="Y10" s="199"/>
      <c r="Z10" s="199"/>
      <c r="AA10" s="200"/>
      <c r="AB10" s="1">
        <f t="shared" si="1"/>
        <v>0</v>
      </c>
      <c r="AC10" s="20"/>
      <c r="AD10" s="20"/>
      <c r="AE10" s="145">
        <f>+Lordo-U12</f>
        <v>0</v>
      </c>
      <c r="AF10" s="62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</row>
    <row r="11" spans="1:59" ht="12.75">
      <c r="A11" s="27" t="s">
        <v>14</v>
      </c>
      <c r="B11" s="29"/>
      <c r="C11" s="29"/>
      <c r="D11" s="29"/>
      <c r="E11" s="195"/>
      <c r="F11" s="196"/>
      <c r="G11" s="197"/>
      <c r="H11" s="198" t="s">
        <v>113</v>
      </c>
      <c r="I11" s="199"/>
      <c r="J11" s="199"/>
      <c r="K11" s="200"/>
      <c r="L11" s="143">
        <f>ROUND((E10+E11)*(Aliquote!H9),2)</f>
        <v>0</v>
      </c>
      <c r="M11" s="20"/>
      <c r="N11" s="20"/>
      <c r="O11" s="20"/>
      <c r="P11" s="62"/>
      <c r="Q11" s="27" t="s">
        <v>14</v>
      </c>
      <c r="R11" s="29"/>
      <c r="S11" s="29"/>
      <c r="T11" s="29"/>
      <c r="U11" s="195">
        <f t="shared" si="0"/>
        <v>0</v>
      </c>
      <c r="V11" s="196"/>
      <c r="W11" s="197"/>
      <c r="X11" s="198" t="s">
        <v>113</v>
      </c>
      <c r="Y11" s="199"/>
      <c r="Z11" s="199"/>
      <c r="AA11" s="200"/>
      <c r="AB11" s="143">
        <f t="shared" si="1"/>
        <v>0</v>
      </c>
      <c r="AC11" s="20"/>
      <c r="AD11" s="20"/>
      <c r="AE11" s="20"/>
      <c r="AF11" s="62"/>
      <c r="AH11" s="85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</row>
    <row r="12" spans="1:59" ht="12.75">
      <c r="A12" s="27" t="s">
        <v>16</v>
      </c>
      <c r="B12" s="29"/>
      <c r="C12" s="29"/>
      <c r="D12" s="23"/>
      <c r="E12" s="195"/>
      <c r="F12" s="196"/>
      <c r="G12" s="197"/>
      <c r="H12" s="198" t="s">
        <v>114</v>
      </c>
      <c r="I12" s="199"/>
      <c r="J12" s="199"/>
      <c r="K12" s="200"/>
      <c r="L12" s="144">
        <f>ROUND((E10+E11)*(Aliquote!I9),2)</f>
        <v>0</v>
      </c>
      <c r="M12" s="20"/>
      <c r="N12" s="20"/>
      <c r="O12" s="20"/>
      <c r="P12" s="62"/>
      <c r="Q12" s="27" t="s">
        <v>16</v>
      </c>
      <c r="R12" s="29"/>
      <c r="S12" s="29"/>
      <c r="T12" s="23"/>
      <c r="U12" s="195">
        <f t="shared" si="0"/>
        <v>0</v>
      </c>
      <c r="V12" s="196"/>
      <c r="W12" s="197"/>
      <c r="X12" s="198" t="s">
        <v>114</v>
      </c>
      <c r="Y12" s="199"/>
      <c r="Z12" s="199"/>
      <c r="AA12" s="200"/>
      <c r="AB12" s="143">
        <f t="shared" si="1"/>
        <v>0</v>
      </c>
      <c r="AC12" s="91"/>
      <c r="AD12" s="20"/>
      <c r="AE12" s="20"/>
      <c r="AF12" s="62"/>
      <c r="AH12" s="85"/>
      <c r="AI12" s="186" t="s">
        <v>32</v>
      </c>
      <c r="AJ12" s="186"/>
      <c r="AK12" s="186"/>
      <c r="AL12" s="186"/>
      <c r="AM12" s="186"/>
      <c r="AN12" t="s">
        <v>44</v>
      </c>
      <c r="AO12" t="s">
        <v>43</v>
      </c>
      <c r="AT12" s="77"/>
      <c r="AU12" s="78"/>
      <c r="AV12" s="78"/>
      <c r="AW12" s="78"/>
      <c r="AX12" s="77"/>
      <c r="AY12" s="77"/>
      <c r="AZ12" s="77"/>
      <c r="BA12" s="77"/>
      <c r="BB12" s="77"/>
      <c r="BC12" s="77"/>
      <c r="BD12" s="77"/>
      <c r="BE12" s="77"/>
      <c r="BF12" s="77"/>
      <c r="BG12" s="77"/>
    </row>
    <row r="13" spans="1:59" ht="12.75">
      <c r="A13" s="27" t="s">
        <v>17</v>
      </c>
      <c r="B13" s="29"/>
      <c r="C13" s="29"/>
      <c r="D13" s="23"/>
      <c r="E13" s="195"/>
      <c r="F13" s="196"/>
      <c r="G13" s="197"/>
      <c r="H13" s="198" t="s">
        <v>115</v>
      </c>
      <c r="I13" s="199"/>
      <c r="J13" s="199"/>
      <c r="K13" s="200"/>
      <c r="L13" s="143">
        <f>ROUND(E12*80%*(Aliquote!$G$9)+E12*(Aliquote!$H$9+Aliquote!$I$9),5)</f>
        <v>0</v>
      </c>
      <c r="M13" s="20"/>
      <c r="N13" s="20"/>
      <c r="O13" s="20"/>
      <c r="P13" s="62"/>
      <c r="Q13" s="27" t="s">
        <v>17</v>
      </c>
      <c r="R13" s="29"/>
      <c r="S13" s="29"/>
      <c r="T13" s="23"/>
      <c r="U13" s="195">
        <f t="shared" si="0"/>
        <v>0</v>
      </c>
      <c r="V13" s="196"/>
      <c r="W13" s="197"/>
      <c r="X13" s="198" t="s">
        <v>115</v>
      </c>
      <c r="Y13" s="199"/>
      <c r="Z13" s="199"/>
      <c r="AA13" s="200"/>
      <c r="AB13" s="143">
        <f t="shared" si="1"/>
        <v>0</v>
      </c>
      <c r="AC13" s="20"/>
      <c r="AD13" s="20"/>
      <c r="AE13" s="91"/>
      <c r="AF13" s="62"/>
      <c r="AH13" s="85"/>
      <c r="AI13" s="4" t="s">
        <v>33</v>
      </c>
      <c r="AJ13" s="107">
        <v>80000</v>
      </c>
      <c r="AK13" s="4"/>
      <c r="AL13" s="107">
        <v>800</v>
      </c>
      <c r="AM13" s="107">
        <v>690</v>
      </c>
      <c r="AN13" s="87">
        <v>110</v>
      </c>
      <c r="AO13" s="87">
        <f>ROUND(Redd_Detraz/AJ19,4)</f>
        <v>0</v>
      </c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</row>
    <row r="14" spans="1:59" ht="12.75">
      <c r="A14" s="192" t="s">
        <v>108</v>
      </c>
      <c r="B14" s="193"/>
      <c r="C14" s="193"/>
      <c r="D14" s="194"/>
      <c r="E14" s="195"/>
      <c r="F14" s="196"/>
      <c r="G14" s="197"/>
      <c r="H14" s="198" t="s">
        <v>116</v>
      </c>
      <c r="I14" s="199"/>
      <c r="J14" s="199"/>
      <c r="K14" s="200"/>
      <c r="L14" s="143">
        <f>ROUND(E13*80%*(Aliquote!$G$9)+E13*(Aliquote!$H$9+Aliquote!$I$9),5)</f>
        <v>0</v>
      </c>
      <c r="M14" s="20"/>
      <c r="N14" s="20"/>
      <c r="O14" s="20"/>
      <c r="P14" s="62"/>
      <c r="Q14" s="26" t="s">
        <v>13</v>
      </c>
      <c r="R14" s="30"/>
      <c r="S14" s="30"/>
      <c r="T14" s="24"/>
      <c r="U14" s="195">
        <f>ROUND(E14*13,5)</f>
        <v>0</v>
      </c>
      <c r="V14" s="196"/>
      <c r="W14" s="197"/>
      <c r="X14" s="198" t="s">
        <v>116</v>
      </c>
      <c r="Y14" s="199"/>
      <c r="Z14" s="199"/>
      <c r="AA14" s="200"/>
      <c r="AB14" s="143">
        <f t="shared" si="1"/>
        <v>0</v>
      </c>
      <c r="AC14" s="20"/>
      <c r="AD14" s="20"/>
      <c r="AE14" s="20"/>
      <c r="AF14" s="62"/>
      <c r="AH14" s="85"/>
      <c r="AI14" s="4" t="s">
        <v>34</v>
      </c>
      <c r="AJ14" s="107">
        <v>95000</v>
      </c>
      <c r="AK14" s="4"/>
      <c r="AL14" s="107">
        <v>800</v>
      </c>
      <c r="AO14" s="77">
        <f>ROUND((Coniuge-Redd_Detraz)/AJ38,4)</f>
        <v>2</v>
      </c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</row>
    <row r="15" spans="1:59" ht="12.75">
      <c r="A15" s="192" t="s">
        <v>109</v>
      </c>
      <c r="B15" s="193"/>
      <c r="C15" s="193"/>
      <c r="D15" s="194"/>
      <c r="E15" s="195"/>
      <c r="F15" s="196"/>
      <c r="G15" s="197"/>
      <c r="H15" s="192" t="s">
        <v>149</v>
      </c>
      <c r="I15" s="193"/>
      <c r="J15" s="193"/>
      <c r="K15" s="194"/>
      <c r="L15" s="143">
        <f>ROUND(E14*80%*(Aliquote!$G$9)+E14*(Aliquote!$H$9+Aliquote!$I$9),5)</f>
        <v>0</v>
      </c>
      <c r="M15" s="20"/>
      <c r="N15" s="20"/>
      <c r="O15" s="20"/>
      <c r="P15" s="62"/>
      <c r="Q15" s="26" t="s">
        <v>13</v>
      </c>
      <c r="R15" s="30"/>
      <c r="S15" s="30"/>
      <c r="T15" s="24"/>
      <c r="U15" s="195">
        <f>ROUND(E15*13,5)</f>
        <v>0</v>
      </c>
      <c r="V15" s="196"/>
      <c r="W15" s="197"/>
      <c r="X15" s="192" t="s">
        <v>13</v>
      </c>
      <c r="Y15" s="193"/>
      <c r="Z15" s="193"/>
      <c r="AA15" s="194"/>
      <c r="AB15" s="143">
        <f t="shared" si="1"/>
        <v>0</v>
      </c>
      <c r="AC15" s="20"/>
      <c r="AD15" s="20"/>
      <c r="AE15" s="25" t="s">
        <v>93</v>
      </c>
      <c r="AF15" s="62"/>
      <c r="AH15" s="85"/>
      <c r="AI15" s="4" t="s">
        <v>35</v>
      </c>
      <c r="AJ15" s="107">
        <v>55000</v>
      </c>
      <c r="AK15" s="4"/>
      <c r="AL15" s="107">
        <v>1338</v>
      </c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</row>
    <row r="16" spans="1:59" ht="12.75">
      <c r="A16" s="192" t="s">
        <v>148</v>
      </c>
      <c r="B16" s="193"/>
      <c r="C16" s="193"/>
      <c r="D16" s="194"/>
      <c r="E16" s="195"/>
      <c r="F16" s="196"/>
      <c r="G16" s="197"/>
      <c r="H16" s="192" t="s">
        <v>150</v>
      </c>
      <c r="I16" s="193"/>
      <c r="J16" s="193"/>
      <c r="K16" s="194"/>
      <c r="L16" s="144">
        <f>ROUND(E15*(Aliquote!$H$9+Aliquote!$I$9),5)</f>
        <v>0</v>
      </c>
      <c r="M16" s="20"/>
      <c r="N16" s="20"/>
      <c r="O16" s="20"/>
      <c r="P16" s="62"/>
      <c r="Q16" s="192" t="s">
        <v>57</v>
      </c>
      <c r="R16" s="193"/>
      <c r="S16" s="193"/>
      <c r="T16" s="194"/>
      <c r="U16" s="195"/>
      <c r="V16" s="196"/>
      <c r="W16" s="197"/>
      <c r="X16" s="192" t="s">
        <v>13</v>
      </c>
      <c r="Y16" s="193"/>
      <c r="Z16" s="193"/>
      <c r="AA16" s="194"/>
      <c r="AB16" s="143">
        <f t="shared" si="1"/>
        <v>0</v>
      </c>
      <c r="AC16" s="298"/>
      <c r="AD16" s="299"/>
      <c r="AE16" s="146">
        <f>IF(O46&gt;E12,ROUND((O46-E12)*12,2),0)</f>
        <v>0</v>
      </c>
      <c r="AF16" s="62"/>
      <c r="AH16" s="85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</row>
    <row r="17" spans="1:59" ht="12.75">
      <c r="A17" s="163" t="s">
        <v>15</v>
      </c>
      <c r="B17" s="154"/>
      <c r="C17" s="154"/>
      <c r="D17" s="164"/>
      <c r="E17" s="175">
        <f>SUM(E8:G16)</f>
        <v>0</v>
      </c>
      <c r="F17" s="219"/>
      <c r="G17" s="176"/>
      <c r="H17" s="192" t="s">
        <v>148</v>
      </c>
      <c r="I17" s="193"/>
      <c r="J17" s="193"/>
      <c r="K17" s="194"/>
      <c r="L17" s="189"/>
      <c r="M17" s="20"/>
      <c r="N17" s="20"/>
      <c r="O17" s="20"/>
      <c r="P17" s="62"/>
      <c r="Q17" s="31" t="s">
        <v>15</v>
      </c>
      <c r="R17" s="28"/>
      <c r="S17" s="28"/>
      <c r="T17" s="32"/>
      <c r="U17" s="175">
        <f>SUM(U8:W16)</f>
        <v>0</v>
      </c>
      <c r="V17" s="219"/>
      <c r="W17" s="176"/>
      <c r="X17" s="192" t="s">
        <v>57</v>
      </c>
      <c r="Y17" s="193"/>
      <c r="Z17" s="193"/>
      <c r="AA17" s="194"/>
      <c r="AB17" s="143">
        <f t="shared" si="1"/>
        <v>0</v>
      </c>
      <c r="AC17" s="160"/>
      <c r="AD17" s="160"/>
      <c r="AE17" s="147"/>
      <c r="AF17" s="62"/>
      <c r="AH17" s="85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</row>
    <row r="18" spans="1:59" ht="13.5" thickBot="1">
      <c r="A18" s="57"/>
      <c r="B18" s="20"/>
      <c r="C18" s="20"/>
      <c r="D18" s="20"/>
      <c r="E18" s="20"/>
      <c r="F18" s="20"/>
      <c r="G18" s="20"/>
      <c r="H18" s="163" t="s">
        <v>15</v>
      </c>
      <c r="I18" s="154"/>
      <c r="J18" s="154"/>
      <c r="K18" s="164"/>
      <c r="L18" s="3">
        <f>SUM(L8:L17)</f>
        <v>0</v>
      </c>
      <c r="M18" s="20"/>
      <c r="N18" s="20"/>
      <c r="O18" s="20"/>
      <c r="P18" s="62"/>
      <c r="Q18" s="57"/>
      <c r="R18" s="20"/>
      <c r="S18" s="20"/>
      <c r="T18" s="20"/>
      <c r="U18" s="20"/>
      <c r="V18" s="20"/>
      <c r="W18" s="20"/>
      <c r="X18" s="31" t="s">
        <v>15</v>
      </c>
      <c r="Y18" s="28"/>
      <c r="Z18" s="28"/>
      <c r="AA18" s="32"/>
      <c r="AB18" s="3">
        <f>SUM(AB8:AB17)</f>
        <v>0</v>
      </c>
      <c r="AC18" s="136"/>
      <c r="AD18" s="136" t="s">
        <v>139</v>
      </c>
      <c r="AE18" s="147"/>
      <c r="AF18" s="151">
        <f>ROUND(E12*12,5)</f>
        <v>0</v>
      </c>
      <c r="AH18" s="85"/>
      <c r="AI18" s="4" t="s">
        <v>38</v>
      </c>
      <c r="AJ18" s="110" t="s">
        <v>39</v>
      </c>
      <c r="AK18" s="77"/>
      <c r="AL18" s="111" t="s">
        <v>45</v>
      </c>
      <c r="AM18" s="111" t="s">
        <v>40</v>
      </c>
      <c r="AO18">
        <f>IF(AP18&gt;0,1,0)</f>
        <v>0</v>
      </c>
      <c r="AP18" s="87"/>
      <c r="AQ18" s="87">
        <v>700</v>
      </c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</row>
    <row r="19" spans="1:59" ht="13.5" customHeight="1" hidden="1" thickBot="1">
      <c r="A19" s="79"/>
      <c r="B19" s="25"/>
      <c r="C19" s="25"/>
      <c r="D19" s="25"/>
      <c r="E19" s="25"/>
      <c r="F19" s="25"/>
      <c r="G19" s="25"/>
      <c r="H19" s="20"/>
      <c r="I19" s="20"/>
      <c r="J19" s="20"/>
      <c r="K19" s="20"/>
      <c r="L19" s="20"/>
      <c r="M19" s="20"/>
      <c r="N19" s="20"/>
      <c r="O19" s="20"/>
      <c r="P19" s="62"/>
      <c r="Q19" s="79"/>
      <c r="R19" s="25"/>
      <c r="S19" s="25"/>
      <c r="T19" s="25"/>
      <c r="U19" s="25"/>
      <c r="V19" s="25"/>
      <c r="W19" s="25"/>
      <c r="X19" s="20"/>
      <c r="Y19" s="20"/>
      <c r="Z19" s="20"/>
      <c r="AA19" s="20"/>
      <c r="AB19" s="20"/>
      <c r="AC19" s="136"/>
      <c r="AD19" s="20"/>
      <c r="AE19" s="148"/>
      <c r="AF19" s="62"/>
      <c r="AI19" s="315" t="s">
        <v>33</v>
      </c>
      <c r="AJ19" s="316">
        <v>15000</v>
      </c>
      <c r="AK19" s="77"/>
      <c r="AL19" s="118">
        <v>0</v>
      </c>
      <c r="AM19" s="127">
        <v>0</v>
      </c>
      <c r="AO19">
        <f>IF(AP19&gt;0,1,0)</f>
        <v>0</v>
      </c>
      <c r="AP19" s="87"/>
      <c r="AQ19" s="87">
        <v>500</v>
      </c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</row>
    <row r="20" spans="1:59" ht="15.75">
      <c r="A20" s="241" t="s">
        <v>66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3"/>
      <c r="Q20" s="241" t="s">
        <v>66</v>
      </c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3"/>
      <c r="AI20" s="315"/>
      <c r="AJ20" s="316"/>
      <c r="AK20" s="77"/>
      <c r="AL20" s="128"/>
      <c r="AM20" s="129"/>
      <c r="AP20" s="87"/>
      <c r="AQ20" s="8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</row>
    <row r="21" spans="1:59" ht="12.75">
      <c r="A21" s="289" t="s">
        <v>33</v>
      </c>
      <c r="B21" s="289"/>
      <c r="C21" s="289"/>
      <c r="D21" s="2"/>
      <c r="E21" s="25"/>
      <c r="F21" s="63"/>
      <c r="G21" s="63"/>
      <c r="H21" s="63"/>
      <c r="I21" s="45"/>
      <c r="J21" s="20"/>
      <c r="K21" s="20"/>
      <c r="L21" s="20"/>
      <c r="M21" s="20"/>
      <c r="N21" s="20"/>
      <c r="O21" s="20"/>
      <c r="P21" s="62"/>
      <c r="Q21" s="289" t="s">
        <v>33</v>
      </c>
      <c r="R21" s="289"/>
      <c r="S21" s="289"/>
      <c r="T21" s="2">
        <f>+D21</f>
        <v>0</v>
      </c>
      <c r="U21" s="25"/>
      <c r="V21" s="63" t="str">
        <f>IF(CNG="Si","Mesi a carico",Vuota1)</f>
        <v>        </v>
      </c>
      <c r="W21" s="63"/>
      <c r="X21" s="63"/>
      <c r="Y21" s="45">
        <v>12</v>
      </c>
      <c r="Z21" s="20"/>
      <c r="AA21" s="20"/>
      <c r="AB21" s="20"/>
      <c r="AC21" s="20"/>
      <c r="AD21" s="20"/>
      <c r="AE21" s="20"/>
      <c r="AF21" s="62"/>
      <c r="AI21" s="315"/>
      <c r="AJ21" s="316"/>
      <c r="AK21" s="77"/>
      <c r="AL21" s="128"/>
      <c r="AM21" s="129"/>
      <c r="AP21" s="87"/>
      <c r="AQ21" s="87"/>
      <c r="AT21" s="77"/>
      <c r="AU21" s="303" t="s">
        <v>83</v>
      </c>
      <c r="AV21" s="304"/>
      <c r="AW21" s="305"/>
      <c r="AX21" s="77"/>
      <c r="AY21" s="77"/>
      <c r="AZ21" s="77"/>
      <c r="BA21" s="77"/>
      <c r="BB21" s="77"/>
      <c r="BC21" s="77"/>
      <c r="BD21" s="77"/>
      <c r="BE21" s="77"/>
      <c r="BF21" s="77"/>
      <c r="BG21" s="77"/>
    </row>
    <row r="22" spans="1:59" ht="12.75">
      <c r="A22" s="64"/>
      <c r="B22" s="63"/>
      <c r="C22" s="48"/>
      <c r="D22" s="20"/>
      <c r="E22" s="25"/>
      <c r="F22" s="63"/>
      <c r="G22" s="63"/>
      <c r="H22" s="63"/>
      <c r="I22" s="20"/>
      <c r="J22" s="20"/>
      <c r="K22" s="20"/>
      <c r="L22" s="20"/>
      <c r="M22" s="20"/>
      <c r="N22" s="20"/>
      <c r="O22" s="20"/>
      <c r="P22" s="62"/>
      <c r="Q22" s="64"/>
      <c r="R22" s="63"/>
      <c r="S22" s="48"/>
      <c r="T22" s="20"/>
      <c r="U22" s="25"/>
      <c r="V22" s="63"/>
      <c r="W22" s="63"/>
      <c r="X22" s="63"/>
      <c r="Y22" s="20"/>
      <c r="Z22" s="20"/>
      <c r="AA22" s="20"/>
      <c r="AB22" s="20"/>
      <c r="AC22" s="20"/>
      <c r="AD22" s="20"/>
      <c r="AE22" s="20"/>
      <c r="AF22" s="62"/>
      <c r="AI22" s="315"/>
      <c r="AJ22" s="316"/>
      <c r="AK22" s="77"/>
      <c r="AL22" s="128"/>
      <c r="AM22" s="129"/>
      <c r="AP22" s="87"/>
      <c r="AQ22" s="87"/>
      <c r="AT22" s="77"/>
      <c r="AU22" s="306"/>
      <c r="AV22" s="257"/>
      <c r="AW22" s="307"/>
      <c r="AX22" s="77"/>
      <c r="AY22" s="77"/>
      <c r="AZ22" s="77"/>
      <c r="BA22" s="77"/>
      <c r="BB22" s="77"/>
      <c r="BC22" s="77"/>
      <c r="BD22" s="77"/>
      <c r="BE22" s="77"/>
      <c r="BF22" s="77"/>
      <c r="BG22" s="77"/>
    </row>
    <row r="23" spans="1:59" ht="12.75">
      <c r="A23" s="54" t="s">
        <v>67</v>
      </c>
      <c r="B23" s="55"/>
      <c r="C23" s="56"/>
      <c r="D23" s="49"/>
      <c r="E23" s="20"/>
      <c r="F23" s="63" t="str">
        <f>IF(N_Fgl&gt;0,"Se il 1° figlio è in assenza del coniuge barrare la casella &gt;&gt;&gt;&gt;",Vuota1)</f>
        <v>        </v>
      </c>
      <c r="G23" s="63"/>
      <c r="H23" s="63"/>
      <c r="I23" s="20"/>
      <c r="J23" s="25"/>
      <c r="K23" s="20"/>
      <c r="L23" s="20"/>
      <c r="M23" s="20"/>
      <c r="N23" s="43"/>
      <c r="O23" s="63"/>
      <c r="P23" s="65"/>
      <c r="Q23" s="54" t="s">
        <v>67</v>
      </c>
      <c r="R23" s="55"/>
      <c r="S23" s="56"/>
      <c r="T23" s="49">
        <f>+D23</f>
        <v>0</v>
      </c>
      <c r="U23" s="20"/>
      <c r="V23" s="63" t="str">
        <f>IF(N_Fgl&gt;0,"Se il 1° figlio è in assenza delconiuge barrare la casella &gt;&gt;&gt;&gt;",Vuota1)</f>
        <v>        </v>
      </c>
      <c r="W23" s="63"/>
      <c r="X23" s="63"/>
      <c r="Y23" s="20"/>
      <c r="Z23" s="25"/>
      <c r="AA23" s="20"/>
      <c r="AB23" s="20"/>
      <c r="AC23" s="20"/>
      <c r="AD23" s="44">
        <f>+N23</f>
        <v>0</v>
      </c>
      <c r="AE23" s="63" t="str">
        <f>IF(AD23&gt;0,"Mesi a carico",Vuota1)</f>
        <v>        </v>
      </c>
      <c r="AF23" s="65"/>
      <c r="AI23" s="315"/>
      <c r="AJ23" s="316"/>
      <c r="AK23" s="77"/>
      <c r="AL23" s="128"/>
      <c r="AM23" s="129"/>
      <c r="AP23" s="87"/>
      <c r="AQ23" s="87"/>
      <c r="AT23" s="77"/>
      <c r="AU23" s="306"/>
      <c r="AV23" s="257"/>
      <c r="AW23" s="307"/>
      <c r="AX23" s="77"/>
      <c r="AY23" s="77"/>
      <c r="AZ23" s="77"/>
      <c r="BA23" s="77"/>
      <c r="BB23" s="77"/>
      <c r="BC23" s="77"/>
      <c r="BD23" s="77"/>
      <c r="BE23" s="77"/>
      <c r="BF23" s="77"/>
      <c r="BG23" s="77"/>
    </row>
    <row r="24" spans="1:59" ht="12.75" customHeight="1">
      <c r="A24" s="47"/>
      <c r="B24" s="239" t="s">
        <v>64</v>
      </c>
      <c r="C24" s="240"/>
      <c r="D24" s="293"/>
      <c r="E24" s="294" t="s">
        <v>65</v>
      </c>
      <c r="F24" s="295"/>
      <c r="G24" s="293"/>
      <c r="H24" s="294" t="s">
        <v>59</v>
      </c>
      <c r="I24" s="295"/>
      <c r="J24" s="293"/>
      <c r="K24" s="48"/>
      <c r="L24" s="63"/>
      <c r="M24" s="20"/>
      <c r="N24" s="20"/>
      <c r="O24" s="20"/>
      <c r="P24" s="62"/>
      <c r="Q24" s="47"/>
      <c r="R24" s="239" t="s">
        <v>64</v>
      </c>
      <c r="S24" s="240"/>
      <c r="T24" s="293"/>
      <c r="U24" s="294" t="s">
        <v>65</v>
      </c>
      <c r="V24" s="295"/>
      <c r="W24" s="293"/>
      <c r="X24" s="294" t="s">
        <v>59</v>
      </c>
      <c r="Y24" s="295"/>
      <c r="Z24" s="293"/>
      <c r="AA24" s="42" t="s">
        <v>80</v>
      </c>
      <c r="AB24" s="63"/>
      <c r="AC24" s="20"/>
      <c r="AD24" s="20"/>
      <c r="AE24" s="20"/>
      <c r="AF24" s="62"/>
      <c r="AI24" s="315"/>
      <c r="AJ24" s="316"/>
      <c r="AK24" s="77"/>
      <c r="AL24" s="128"/>
      <c r="AM24" s="129"/>
      <c r="AP24" s="87"/>
      <c r="AQ24" s="87"/>
      <c r="AT24" s="77"/>
      <c r="AU24" s="306"/>
      <c r="AV24" s="257"/>
      <c r="AW24" s="307"/>
      <c r="AX24" s="77"/>
      <c r="AY24" s="77"/>
      <c r="AZ24" s="77"/>
      <c r="BA24" s="77"/>
      <c r="BB24" s="77"/>
      <c r="BC24" s="77"/>
      <c r="BD24" s="77"/>
      <c r="BE24" s="77"/>
      <c r="BF24" s="77"/>
      <c r="BG24" s="77"/>
    </row>
    <row r="25" spans="1:59" ht="12.75" customHeight="1">
      <c r="A25" s="64" t="str">
        <f>IF(N_Fgl&gt;0,"1° figlio",Vuota1)</f>
        <v>        </v>
      </c>
      <c r="B25" s="63"/>
      <c r="C25" s="43"/>
      <c r="D25" s="63"/>
      <c r="E25" s="63"/>
      <c r="F25" s="43"/>
      <c r="G25" s="63"/>
      <c r="H25" s="63"/>
      <c r="I25" s="43"/>
      <c r="J25" s="63"/>
      <c r="K25" s="63"/>
      <c r="L25" s="66" t="str">
        <f>IF($D$23&gt;0,ROUND(AB25/12,2),Vuota1)</f>
        <v>        </v>
      </c>
      <c r="M25" s="231" t="s">
        <v>69</v>
      </c>
      <c r="N25" s="232"/>
      <c r="O25" s="233"/>
      <c r="P25" s="244">
        <v>1</v>
      </c>
      <c r="Q25" s="64" t="str">
        <f>IF(N_Fgl&gt;0,"1° figlio",Vuota1)</f>
        <v>        </v>
      </c>
      <c r="R25" s="63"/>
      <c r="S25" s="43">
        <f aca="true" t="shared" si="2" ref="S25:S31">+C25</f>
        <v>0</v>
      </c>
      <c r="T25" s="63"/>
      <c r="U25" s="63"/>
      <c r="V25" s="43">
        <f aca="true" t="shared" si="3" ref="V25:V31">+F25</f>
        <v>0</v>
      </c>
      <c r="W25" s="63"/>
      <c r="X25" s="63"/>
      <c r="Y25" s="43">
        <f aca="true" t="shared" si="4" ref="Y25:Y31">+I25</f>
        <v>0</v>
      </c>
      <c r="Z25" s="63"/>
      <c r="AA25" s="43"/>
      <c r="AB25" s="66" t="str">
        <f>IF(N_Fgl&gt;0,IF(AD23&gt;0,AH27,ROUND(dsfig*Percm,2)+IF($V$25&gt;0,ROUND((dsfg3-dsfig)*Percm,2),0)+IF($Y$25&gt;0,ROUND(dsfhc*Percm,2),0)),Vuota1)</f>
        <v>        </v>
      </c>
      <c r="AC25" s="231" t="s">
        <v>69</v>
      </c>
      <c r="AD25" s="232"/>
      <c r="AE25" s="233"/>
      <c r="AF25" s="244">
        <f>+P25</f>
        <v>1</v>
      </c>
      <c r="AH25" s="106">
        <f>ROUND(dsfig,5)+IF($V$25&gt;0,ROUND(dsfg3-dsfig,5),0)+IF($Y$25&gt;0,ROUND(dsfhc,5),0)</f>
        <v>0</v>
      </c>
      <c r="AI25" s="315"/>
      <c r="AJ25" s="316"/>
      <c r="AK25" s="77"/>
      <c r="AL25" s="128"/>
      <c r="AM25" s="129"/>
      <c r="AP25" s="87"/>
      <c r="AQ25" s="87"/>
      <c r="AT25" s="77"/>
      <c r="AU25" s="308"/>
      <c r="AV25" s="309"/>
      <c r="AW25" s="310"/>
      <c r="AX25" s="77"/>
      <c r="AY25" s="77"/>
      <c r="AZ25" s="77"/>
      <c r="BA25" s="77"/>
      <c r="BB25" s="77"/>
      <c r="BC25" s="77"/>
      <c r="BD25" s="77"/>
      <c r="BE25" s="77"/>
      <c r="BF25" s="77"/>
      <c r="BG25" s="77"/>
    </row>
    <row r="26" spans="1:59" ht="12.75">
      <c r="A26" s="64" t="str">
        <f>IF(N_Fgl&gt;1,"2° figlio"," ")</f>
        <v> </v>
      </c>
      <c r="B26" s="63"/>
      <c r="C26" s="43"/>
      <c r="D26" s="63"/>
      <c r="E26" s="63"/>
      <c r="F26" s="43"/>
      <c r="G26" s="63"/>
      <c r="H26" s="63"/>
      <c r="I26" s="43"/>
      <c r="J26" s="63"/>
      <c r="K26" s="63"/>
      <c r="L26" s="66" t="str">
        <f>IF($D$23&gt;1,ROUND(AB26/12,2),Vuota1)</f>
        <v>        </v>
      </c>
      <c r="M26" s="234"/>
      <c r="N26" s="188"/>
      <c r="O26" s="235"/>
      <c r="P26" s="245"/>
      <c r="Q26" s="64" t="str">
        <f>IF(N_Fgl&gt;1,"2° figlio"," ")</f>
        <v> </v>
      </c>
      <c r="R26" s="63"/>
      <c r="S26" s="43">
        <f t="shared" si="2"/>
        <v>0</v>
      </c>
      <c r="T26" s="63"/>
      <c r="U26" s="63"/>
      <c r="V26" s="43">
        <f t="shared" si="3"/>
        <v>0</v>
      </c>
      <c r="W26" s="63"/>
      <c r="X26" s="63"/>
      <c r="Y26" s="43">
        <f t="shared" si="4"/>
        <v>0</v>
      </c>
      <c r="Z26" s="63"/>
      <c r="AA26" s="43"/>
      <c r="AB26" s="66" t="str">
        <f>IF(N_Fgl&gt;1,ROUND(dsfig*Percm,2)+IF(V26&gt;0,ROUND((dsfg3-dsfig)*Percm,2),0)+IF(Y26&gt;0,ROUND(dsfhc*Percm,2),0),Vuota1)</f>
        <v>        </v>
      </c>
      <c r="AC26" s="234"/>
      <c r="AD26" s="188"/>
      <c r="AE26" s="235"/>
      <c r="AF26" s="245"/>
      <c r="AI26" s="315"/>
      <c r="AJ26" s="316"/>
      <c r="AK26" s="77"/>
      <c r="AL26" s="128"/>
      <c r="AM26" s="129"/>
      <c r="AP26" s="87"/>
      <c r="AQ26" s="8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</row>
    <row r="27" spans="1:59" ht="12.75">
      <c r="A27" s="64" t="str">
        <f>IF(N_Fgl&gt;2,"3° figlio"," ")</f>
        <v> </v>
      </c>
      <c r="B27" s="63"/>
      <c r="C27" s="43"/>
      <c r="D27" s="63"/>
      <c r="E27" s="63"/>
      <c r="F27" s="43"/>
      <c r="G27" s="63"/>
      <c r="H27" s="63"/>
      <c r="I27" s="43"/>
      <c r="J27" s="63"/>
      <c r="K27" s="63"/>
      <c r="L27" s="66" t="str">
        <f>IF($D$23&gt;2,ROUND(AB27/12,2),Vuota1)</f>
        <v>        </v>
      </c>
      <c r="M27" s="236"/>
      <c r="N27" s="237"/>
      <c r="O27" s="238"/>
      <c r="P27" s="246"/>
      <c r="Q27" s="64" t="str">
        <f>IF(N_Fgl&gt;2,"3° figlio"," ")</f>
        <v> </v>
      </c>
      <c r="R27" s="63"/>
      <c r="S27" s="43">
        <f t="shared" si="2"/>
        <v>0</v>
      </c>
      <c r="T27" s="63"/>
      <c r="U27" s="63"/>
      <c r="V27" s="43">
        <f t="shared" si="3"/>
        <v>0</v>
      </c>
      <c r="W27" s="63"/>
      <c r="X27" s="63"/>
      <c r="Y27" s="43">
        <f t="shared" si="4"/>
        <v>0</v>
      </c>
      <c r="Z27" s="63"/>
      <c r="AA27" s="43"/>
      <c r="AB27" s="66" t="str">
        <f>IF(N_Fgl&gt;2,ROUND(dsfig*Percm,2)+IF(V27&gt;0,ROUND((dsfg3-dsfig)*Percm,2),0)+IF(Y27&gt;0,ROUND(dsfhc*Percm,2),0),Vuota1)</f>
        <v>        </v>
      </c>
      <c r="AC27" s="236"/>
      <c r="AD27" s="237"/>
      <c r="AE27" s="238"/>
      <c r="AF27" s="246"/>
      <c r="AH27" s="106">
        <f>IF($AD$23&gt;0,IF($AH$25&gt;Cng_nn,ROUND($AH$25,2),ROUND(Cng_nn,5)),AH25)</f>
        <v>0</v>
      </c>
      <c r="AI27" s="315"/>
      <c r="AJ27" s="316"/>
      <c r="AK27" s="77"/>
      <c r="AL27" s="128"/>
      <c r="AM27" s="129"/>
      <c r="AP27" s="87"/>
      <c r="AQ27" s="8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</row>
    <row r="28" spans="1:59" ht="12.75">
      <c r="A28" s="64" t="str">
        <f>IF(N_Fgl&gt;3,"4° figlio"," ")</f>
        <v> </v>
      </c>
      <c r="B28" s="63"/>
      <c r="C28" s="43"/>
      <c r="D28" s="63"/>
      <c r="E28" s="63"/>
      <c r="F28" s="43"/>
      <c r="G28" s="63"/>
      <c r="H28" s="63"/>
      <c r="I28" s="43"/>
      <c r="J28" s="63"/>
      <c r="K28" s="63"/>
      <c r="L28" s="66" t="str">
        <f>IF($D$23&gt;3,ROUND(AB28/12,2),Vuota1)</f>
        <v>        </v>
      </c>
      <c r="M28" s="319" t="str">
        <f>IF(N23&gt;0,IF(P25=50%,"Attenzione: la percentuale deve essere 100%",Vuota1),Vuota1)</f>
        <v>        </v>
      </c>
      <c r="N28" s="319"/>
      <c r="O28" s="319"/>
      <c r="P28" s="320"/>
      <c r="Q28" s="64" t="str">
        <f>IF(N_Fgl&gt;3,"4° figlio"," ")</f>
        <v> </v>
      </c>
      <c r="R28" s="63"/>
      <c r="S28" s="43">
        <f t="shared" si="2"/>
        <v>0</v>
      </c>
      <c r="T28" s="63"/>
      <c r="U28" s="63"/>
      <c r="V28" s="43">
        <f t="shared" si="3"/>
        <v>0</v>
      </c>
      <c r="W28" s="63"/>
      <c r="X28" s="63"/>
      <c r="Y28" s="43">
        <f t="shared" si="4"/>
        <v>0</v>
      </c>
      <c r="Z28" s="63"/>
      <c r="AA28" s="43"/>
      <c r="AB28" s="66" t="str">
        <f>IF(N_Fgl&gt;3,ROUND(dsfig*Percm,2)+IF(V28&gt;0,ROUND((dsfg3-dsfig)*Percm,2),0)+IF(Y28&gt;0,ROUND(dsfhc*Percm,2),0),Vuota1)</f>
        <v>        </v>
      </c>
      <c r="AC28" s="20"/>
      <c r="AD28" s="20"/>
      <c r="AE28" s="20"/>
      <c r="AF28" s="62"/>
      <c r="AI28" s="315"/>
      <c r="AJ28" s="316"/>
      <c r="AK28" s="77"/>
      <c r="AL28" s="128"/>
      <c r="AM28" s="129"/>
      <c r="AP28" s="87"/>
      <c r="AQ28" s="8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</row>
    <row r="29" spans="1:59" ht="13.5" thickBot="1">
      <c r="A29" s="64" t="str">
        <f>IF(N_Fgl&gt;4,"5° figlio"," ")</f>
        <v> </v>
      </c>
      <c r="B29" s="63"/>
      <c r="C29" s="43"/>
      <c r="D29" s="63"/>
      <c r="E29" s="63"/>
      <c r="F29" s="43"/>
      <c r="G29" s="63"/>
      <c r="H29" s="63"/>
      <c r="I29" s="43"/>
      <c r="J29" s="63"/>
      <c r="K29" s="63"/>
      <c r="L29" s="66" t="str">
        <f>IF($D$23&gt;4,ROUND(AB29/12,2),Vuota1)</f>
        <v>        </v>
      </c>
      <c r="M29" s="321"/>
      <c r="N29" s="321"/>
      <c r="O29" s="321"/>
      <c r="P29" s="322"/>
      <c r="Q29" s="64" t="str">
        <f>IF(N_Fgl&gt;4,"5° figlio"," ")</f>
        <v> </v>
      </c>
      <c r="R29" s="63"/>
      <c r="S29" s="43">
        <f t="shared" si="2"/>
        <v>0</v>
      </c>
      <c r="T29" s="63"/>
      <c r="U29" s="63"/>
      <c r="V29" s="43">
        <f t="shared" si="3"/>
        <v>0</v>
      </c>
      <c r="W29" s="63"/>
      <c r="X29" s="63"/>
      <c r="Y29" s="43">
        <f t="shared" si="4"/>
        <v>0</v>
      </c>
      <c r="Z29" s="63"/>
      <c r="AA29" s="43"/>
      <c r="AB29" s="66" t="str">
        <f>IF(N_Fgl&gt;4,ROUND(dsfig*Percm,2)+IF(V29&gt;0,ROUND((dsfg3-dsfig)*Percm,2),0)+IF(Y29&gt;0,ROUND(dsfhc*Percm,2),0),Vuota1)</f>
        <v>        </v>
      </c>
      <c r="AC29" s="20"/>
      <c r="AD29" s="20"/>
      <c r="AE29" s="20"/>
      <c r="AF29" s="62"/>
      <c r="AI29" s="315"/>
      <c r="AJ29" s="316"/>
      <c r="AK29" s="77"/>
      <c r="AL29" s="128"/>
      <c r="AM29" s="129"/>
      <c r="AP29" s="87"/>
      <c r="AQ29" s="8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</row>
    <row r="30" spans="1:59" ht="13.5" thickTop="1">
      <c r="A30" s="64" t="str">
        <f>IF(N_Fgl&gt;5,"6° figlio"," ")</f>
        <v> </v>
      </c>
      <c r="B30" s="63"/>
      <c r="C30" s="43"/>
      <c r="D30" s="63"/>
      <c r="E30" s="63"/>
      <c r="F30" s="43"/>
      <c r="G30" s="63"/>
      <c r="H30" s="63"/>
      <c r="I30" s="43"/>
      <c r="J30" s="63"/>
      <c r="K30" s="63"/>
      <c r="L30" s="66" t="str">
        <f>IF($D$23&gt;5,ROUND(AB30/12,2),Vuota1)</f>
        <v>        </v>
      </c>
      <c r="M30" s="20"/>
      <c r="N30" s="20"/>
      <c r="O30" s="20"/>
      <c r="P30" s="62"/>
      <c r="Q30" s="64" t="str">
        <f>IF(N_Fgl&gt;5,"6° figlio"," ")</f>
        <v> </v>
      </c>
      <c r="R30" s="63"/>
      <c r="S30" s="43">
        <f t="shared" si="2"/>
        <v>0</v>
      </c>
      <c r="T30" s="63"/>
      <c r="U30" s="63"/>
      <c r="V30" s="43">
        <f t="shared" si="3"/>
        <v>0</v>
      </c>
      <c r="W30" s="63"/>
      <c r="X30" s="63"/>
      <c r="Y30" s="43">
        <f t="shared" si="4"/>
        <v>0</v>
      </c>
      <c r="Z30" s="63"/>
      <c r="AA30" s="43"/>
      <c r="AB30" s="66" t="str">
        <f>IF(N_Fgl&gt;5,ROUND(dsfig*Percm,2)+IF(V30&gt;0,ROUND((dsfg3-dsfig)*Percm,2),0)+IF(Y30&gt;0,ROUND(dsfhc*Percm,2),0),Vuota1)</f>
        <v>        </v>
      </c>
      <c r="AC30" s="20"/>
      <c r="AD30" s="20"/>
      <c r="AE30" s="20"/>
      <c r="AF30" s="62"/>
      <c r="AI30" s="315"/>
      <c r="AJ30" s="316"/>
      <c r="AK30" s="77"/>
      <c r="AL30" s="128"/>
      <c r="AM30" s="129"/>
      <c r="AP30" s="87"/>
      <c r="AQ30" s="87"/>
      <c r="AT30" s="77"/>
      <c r="AU30" s="253" t="s">
        <v>99</v>
      </c>
      <c r="AV30" s="254"/>
      <c r="AW30" s="255"/>
      <c r="AX30" s="77"/>
      <c r="AY30" s="77"/>
      <c r="AZ30" s="77"/>
      <c r="BA30" s="77"/>
      <c r="BB30" s="77"/>
      <c r="BC30" s="77"/>
      <c r="BD30" s="77"/>
      <c r="BE30" s="77"/>
      <c r="BF30" s="77"/>
      <c r="BG30" s="77"/>
    </row>
    <row r="31" spans="1:59" ht="12.75">
      <c r="A31" s="64" t="str">
        <f>IF(N_Fgl&gt;6,"7° figlio"," ")</f>
        <v> </v>
      </c>
      <c r="B31" s="63"/>
      <c r="C31" s="43"/>
      <c r="D31" s="63"/>
      <c r="E31" s="63"/>
      <c r="F31" s="43"/>
      <c r="G31" s="63"/>
      <c r="H31" s="63"/>
      <c r="I31" s="43"/>
      <c r="J31" s="63"/>
      <c r="K31" s="63"/>
      <c r="L31" s="66" t="str">
        <f>IF($D$23&gt;6,ROUND(AB31/12,2),Vuota1)</f>
        <v>        </v>
      </c>
      <c r="M31" s="20"/>
      <c r="N31" s="20"/>
      <c r="O31" s="20"/>
      <c r="P31" s="62"/>
      <c r="Q31" s="64" t="str">
        <f>IF(N_Fgl&gt;6,"7° figlio"," ")</f>
        <v> </v>
      </c>
      <c r="R31" s="63"/>
      <c r="S31" s="43">
        <f t="shared" si="2"/>
        <v>0</v>
      </c>
      <c r="T31" s="63"/>
      <c r="U31" s="63"/>
      <c r="V31" s="43">
        <f t="shared" si="3"/>
        <v>0</v>
      </c>
      <c r="W31" s="63"/>
      <c r="X31" s="63"/>
      <c r="Y31" s="43">
        <f t="shared" si="4"/>
        <v>0</v>
      </c>
      <c r="Z31" s="63"/>
      <c r="AA31" s="43"/>
      <c r="AB31" s="66" t="str">
        <f>IF(N_Fgl&gt;6,ROUND(dsfig*Percm,2)+IF(V31&gt;0,ROUND((dsfg3-dsfig)*Percm,2),0)+IF(Y31&gt;0,ROUND(dsfhc*Percm,2),0),Vuota1)</f>
        <v>        </v>
      </c>
      <c r="AC31" s="20"/>
      <c r="AD31" s="20"/>
      <c r="AE31" s="20"/>
      <c r="AF31" s="62"/>
      <c r="AI31" s="315"/>
      <c r="AJ31" s="316"/>
      <c r="AK31" s="77"/>
      <c r="AL31" s="128"/>
      <c r="AM31" s="129"/>
      <c r="AP31" s="87"/>
      <c r="AQ31" s="87"/>
      <c r="AT31" s="77"/>
      <c r="AU31" s="256"/>
      <c r="AV31" s="257"/>
      <c r="AW31" s="258"/>
      <c r="AX31" s="77"/>
      <c r="AY31" s="77"/>
      <c r="AZ31" s="77"/>
      <c r="BA31" s="77"/>
      <c r="BB31" s="77"/>
      <c r="BC31" s="77"/>
      <c r="BD31" s="77"/>
      <c r="BE31" s="77"/>
      <c r="BF31" s="77"/>
      <c r="BG31" s="77"/>
    </row>
    <row r="32" spans="1:59" ht="12.75">
      <c r="A32" s="5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62"/>
      <c r="Q32" s="57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62"/>
      <c r="AI32" s="315"/>
      <c r="AJ32" s="316"/>
      <c r="AK32" s="77"/>
      <c r="AL32" s="128"/>
      <c r="AM32" s="129"/>
      <c r="AP32" s="87"/>
      <c r="AQ32" s="87"/>
      <c r="AT32" s="77"/>
      <c r="AU32" s="256"/>
      <c r="AV32" s="257"/>
      <c r="AW32" s="258"/>
      <c r="AX32" s="77"/>
      <c r="AY32" s="77"/>
      <c r="AZ32" s="77"/>
      <c r="BA32" s="77"/>
      <c r="BB32" s="77"/>
      <c r="BC32" s="77"/>
      <c r="BD32" s="77"/>
      <c r="BE32" s="77"/>
      <c r="BF32" s="77"/>
      <c r="BG32" s="77"/>
    </row>
    <row r="33" spans="1:59" ht="12.75" customHeight="1">
      <c r="A33" s="286" t="s">
        <v>86</v>
      </c>
      <c r="B33" s="287"/>
      <c r="C33" s="288"/>
      <c r="D33" s="2"/>
      <c r="E33" s="20"/>
      <c r="F33" s="63"/>
      <c r="G33" s="63"/>
      <c r="H33" s="63"/>
      <c r="I33" s="45"/>
      <c r="J33" s="20"/>
      <c r="K33" s="188" t="str">
        <f>IF(D33&gt;0,"Indicare il numero complessivo degli aventi diritto alla detrazione pro quota",Vuota1)</f>
        <v>        </v>
      </c>
      <c r="L33" s="179"/>
      <c r="M33" s="179"/>
      <c r="N33" s="179"/>
      <c r="O33" s="179"/>
      <c r="P33" s="223"/>
      <c r="Q33" s="286" t="s">
        <v>86</v>
      </c>
      <c r="R33" s="287"/>
      <c r="S33" s="288"/>
      <c r="T33" s="2">
        <f>+D33</f>
        <v>0</v>
      </c>
      <c r="U33" s="20"/>
      <c r="V33" s="63" t="str">
        <f>IF(T33&gt;0,"Mesi a carico",Vuota1)</f>
        <v>        </v>
      </c>
      <c r="W33" s="63"/>
      <c r="X33" s="63"/>
      <c r="Y33" s="45">
        <v>12</v>
      </c>
      <c r="Z33" s="20"/>
      <c r="AA33" s="188" t="str">
        <f>IF(T33&gt;0,"Indicare il numero complessivo degli aventi diritto alla detrazione pro quota",Vuota1)</f>
        <v>        </v>
      </c>
      <c r="AB33" s="311"/>
      <c r="AC33" s="311"/>
      <c r="AD33" s="311"/>
      <c r="AE33" s="311"/>
      <c r="AF33" s="223">
        <f>+P33</f>
        <v>0</v>
      </c>
      <c r="AI33" s="315"/>
      <c r="AJ33" s="316"/>
      <c r="AK33" s="77"/>
      <c r="AL33" s="128"/>
      <c r="AM33" s="129"/>
      <c r="AP33" s="87"/>
      <c r="AQ33" s="87"/>
      <c r="AT33" s="77"/>
      <c r="AU33" s="256"/>
      <c r="AV33" s="257"/>
      <c r="AW33" s="258"/>
      <c r="AX33" s="77"/>
      <c r="AY33" s="77"/>
      <c r="AZ33" s="77"/>
      <c r="BA33" s="77"/>
      <c r="BB33" s="77"/>
      <c r="BC33" s="77"/>
      <c r="BD33" s="77"/>
      <c r="BE33" s="77"/>
      <c r="BF33" s="77"/>
      <c r="BG33" s="77"/>
    </row>
    <row r="34" spans="1:59" ht="12.75">
      <c r="A34" s="80"/>
      <c r="B34" s="81"/>
      <c r="C34" s="81"/>
      <c r="D34" s="82"/>
      <c r="E34" s="20"/>
      <c r="F34" s="63"/>
      <c r="G34" s="63"/>
      <c r="H34" s="63"/>
      <c r="I34" s="45"/>
      <c r="J34" s="20"/>
      <c r="K34" s="180"/>
      <c r="L34" s="180"/>
      <c r="M34" s="180"/>
      <c r="N34" s="180"/>
      <c r="O34" s="180"/>
      <c r="P34" s="224"/>
      <c r="Q34" s="80"/>
      <c r="R34" s="81"/>
      <c r="S34" s="81"/>
      <c r="T34" s="82"/>
      <c r="U34" s="20"/>
      <c r="V34" s="63"/>
      <c r="W34" s="63"/>
      <c r="X34" s="63"/>
      <c r="Y34" s="45"/>
      <c r="Z34" s="20"/>
      <c r="AA34" s="180"/>
      <c r="AB34" s="180"/>
      <c r="AC34" s="180"/>
      <c r="AD34" s="180"/>
      <c r="AE34" s="180"/>
      <c r="AF34" s="224"/>
      <c r="AI34" s="315"/>
      <c r="AJ34" s="316"/>
      <c r="AK34" s="77"/>
      <c r="AL34" s="128"/>
      <c r="AM34" s="129"/>
      <c r="AP34" s="87"/>
      <c r="AQ34" s="87"/>
      <c r="AT34" s="77"/>
      <c r="AU34" s="256"/>
      <c r="AV34" s="257"/>
      <c r="AW34" s="258"/>
      <c r="AX34" s="77"/>
      <c r="AY34" s="77"/>
      <c r="AZ34" s="77"/>
      <c r="BA34" s="77"/>
      <c r="BB34" s="77"/>
      <c r="BC34" s="77"/>
      <c r="BD34" s="77"/>
      <c r="BE34" s="77"/>
      <c r="BF34" s="77"/>
      <c r="BG34" s="77"/>
    </row>
    <row r="35" spans="1:59" ht="12.75">
      <c r="A35" s="165" t="s">
        <v>70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7"/>
      <c r="Q35" s="165" t="s">
        <v>70</v>
      </c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7"/>
      <c r="AI35" s="315"/>
      <c r="AJ35" s="316"/>
      <c r="AK35" s="77"/>
      <c r="AL35" s="120">
        <v>0.0001</v>
      </c>
      <c r="AM35" s="121">
        <f>ROUND(DetrConiuge-(Ind*Rapp),2)</f>
        <v>800</v>
      </c>
      <c r="AO35">
        <f>IF(AP35&gt;0,1,0)</f>
        <v>0</v>
      </c>
      <c r="AP35" s="87"/>
      <c r="AQ35" s="87">
        <v>200</v>
      </c>
      <c r="AT35" s="77"/>
      <c r="AU35" s="256"/>
      <c r="AV35" s="257"/>
      <c r="AW35" s="258"/>
      <c r="AX35" s="77"/>
      <c r="AY35" s="77"/>
      <c r="AZ35" s="77"/>
      <c r="BA35" s="77"/>
      <c r="BB35" s="77"/>
      <c r="BC35" s="77"/>
      <c r="BD35" s="77"/>
      <c r="BE35" s="77"/>
      <c r="BF35" s="77"/>
      <c r="BG35" s="77"/>
    </row>
    <row r="36" spans="1:59" ht="12.75">
      <c r="A36" s="290" t="s">
        <v>32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2"/>
      <c r="Q36" s="290" t="s">
        <v>32</v>
      </c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2"/>
      <c r="AH36" s="184" t="s">
        <v>62</v>
      </c>
      <c r="AI36" s="315"/>
      <c r="AJ36" s="316"/>
      <c r="AK36" s="77"/>
      <c r="AL36" s="122">
        <v>1</v>
      </c>
      <c r="AM36" s="121">
        <f>+DetrRid</f>
        <v>690</v>
      </c>
      <c r="AO36">
        <f>IF(AP36&gt;0,1,0)</f>
        <v>0</v>
      </c>
      <c r="AP36" s="87"/>
      <c r="AQ36" s="87">
        <v>1500</v>
      </c>
      <c r="AT36" s="77"/>
      <c r="AU36" s="256"/>
      <c r="AV36" s="257"/>
      <c r="AW36" s="258"/>
      <c r="AX36" s="77"/>
      <c r="AY36" s="77"/>
      <c r="AZ36" s="77"/>
      <c r="BA36" s="77"/>
      <c r="BB36" s="77"/>
      <c r="BC36" s="77"/>
      <c r="BD36" s="77"/>
      <c r="BE36" s="77"/>
      <c r="BF36" s="77"/>
      <c r="BG36" s="77"/>
    </row>
    <row r="37" spans="1:59" ht="12.75">
      <c r="A37" s="225" t="s">
        <v>19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7"/>
      <c r="M37" s="3">
        <f>IF(E17&gt;0,ROUND(AC37/12,0),0)</f>
        <v>0</v>
      </c>
      <c r="N37" s="20"/>
      <c r="O37" s="20"/>
      <c r="P37" s="62"/>
      <c r="Q37" s="225" t="s">
        <v>19</v>
      </c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7"/>
      <c r="AC37" s="3">
        <f>IF(CNG="SI",ROUND((VLOOKUP(Redd_Detraz,ConDetr,3)+VLOOKUP(Redd_Detraz,LettB,3))/12*Me_co,2),0)</f>
        <v>0</v>
      </c>
      <c r="AD37" s="20"/>
      <c r="AE37" s="20"/>
      <c r="AF37" s="62"/>
      <c r="AH37" s="184"/>
      <c r="AI37" s="315"/>
      <c r="AJ37" s="316"/>
      <c r="AK37" s="77"/>
      <c r="AL37" s="123">
        <v>10</v>
      </c>
      <c r="AM37" s="124">
        <f>ROUND(DetrConiuge-(Ind*Rapp),2)</f>
        <v>800</v>
      </c>
      <c r="AO37">
        <f>SUM(AO18:AO36)</f>
        <v>0</v>
      </c>
      <c r="AT37" s="77"/>
      <c r="AU37" s="256"/>
      <c r="AV37" s="257"/>
      <c r="AW37" s="258"/>
      <c r="AX37" s="77"/>
      <c r="AY37" s="77"/>
      <c r="AZ37" s="77"/>
      <c r="BA37" s="77"/>
      <c r="BB37" s="77"/>
      <c r="BC37" s="77"/>
      <c r="BD37" s="77"/>
      <c r="BE37" s="77"/>
      <c r="BF37" s="77"/>
      <c r="BG37" s="77"/>
    </row>
    <row r="38" spans="1:59" ht="13.5" thickBot="1">
      <c r="A38" s="225" t="s">
        <v>42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7"/>
      <c r="M38" s="3">
        <f>IF(E17&gt;0,ROUND(AC38/12,0),0)</f>
        <v>0</v>
      </c>
      <c r="N38" s="20"/>
      <c r="O38" s="20"/>
      <c r="P38" s="62"/>
      <c r="Q38" s="225" t="s">
        <v>42</v>
      </c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7"/>
      <c r="AC38" s="3">
        <f>SUMIF(AB25:AB31,"&gt;0")</f>
        <v>0</v>
      </c>
      <c r="AD38" s="20"/>
      <c r="AE38" s="20"/>
      <c r="AF38" s="62"/>
      <c r="AH38" s="109">
        <f>IF(Lordo&gt;0,ROUND((VLOOKUP(Redd_Detraz,ConDetr,3)+VLOOKUP(Redd_Detraz,LettB,3)),5),0)</f>
        <v>0</v>
      </c>
      <c r="AI38" s="315"/>
      <c r="AJ38" s="110">
        <v>40000</v>
      </c>
      <c r="AK38" s="77"/>
      <c r="AL38" s="125"/>
      <c r="AM38" s="126">
        <f>+DetrRid</f>
        <v>690</v>
      </c>
      <c r="AT38" s="77"/>
      <c r="AU38" s="259"/>
      <c r="AV38" s="260"/>
      <c r="AW38" s="261"/>
      <c r="AX38" s="77"/>
      <c r="AY38" s="77"/>
      <c r="AZ38" s="77"/>
      <c r="BA38" s="77"/>
      <c r="BB38" s="77"/>
      <c r="BC38" s="77"/>
      <c r="BD38" s="77"/>
      <c r="BE38" s="77"/>
      <c r="BF38" s="77"/>
      <c r="BG38" s="77"/>
    </row>
    <row r="39" spans="1:59" ht="13.5" thickTop="1">
      <c r="A39" s="225" t="s">
        <v>56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7"/>
      <c r="M39" s="3">
        <f>IF(E17&gt;0,IF(D33&gt;0,IF(P33&gt;0,ROUND(AC39/12,0),0),0),0)</f>
        <v>0</v>
      </c>
      <c r="N39" s="20"/>
      <c r="O39" s="20"/>
      <c r="P39" s="62"/>
      <c r="Q39" s="225" t="s">
        <v>56</v>
      </c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7"/>
      <c r="AC39" s="3">
        <f>IF(T33&gt;0,ROUND(dsaltri*T33/12*Y33/AF33,2),0)</f>
        <v>0</v>
      </c>
      <c r="AD39" s="20"/>
      <c r="AE39" s="20"/>
      <c r="AF39" s="62"/>
      <c r="AI39" s="315"/>
      <c r="AJ39" s="316">
        <v>80000</v>
      </c>
      <c r="AK39" s="77"/>
      <c r="AL39" s="118">
        <v>0</v>
      </c>
      <c r="AM39" s="119">
        <v>0</v>
      </c>
      <c r="AP39">
        <f>IF(AO37&gt;0,IF(VLOOKUP(AP42,abi,2)&lt;DetrRid,DetrRid,VLOOKUP(AP42,abi,2)),0)</f>
        <v>0</v>
      </c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</row>
    <row r="40" spans="1:59" ht="12.75">
      <c r="A40" s="172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4"/>
      <c r="Q40" s="172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4"/>
      <c r="AH40" s="184" t="s">
        <v>63</v>
      </c>
      <c r="AI40" s="315"/>
      <c r="AJ40" s="316"/>
      <c r="AK40" s="77"/>
      <c r="AL40" s="120">
        <v>0.0001</v>
      </c>
      <c r="AM40" s="121">
        <f>ROUND(DetrRid*Rap1,2)</f>
        <v>1380</v>
      </c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</row>
    <row r="41" spans="1:59" ht="12.75">
      <c r="A41" s="225" t="s">
        <v>76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7"/>
      <c r="M41" s="3">
        <f>SUM(M37:M39)</f>
        <v>0</v>
      </c>
      <c r="N41" s="20"/>
      <c r="O41" s="20"/>
      <c r="P41" s="62"/>
      <c r="Q41" s="225" t="s">
        <v>76</v>
      </c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7"/>
      <c r="AC41" s="3">
        <f>SUM(AC37:AC39)</f>
        <v>0</v>
      </c>
      <c r="AD41" s="20"/>
      <c r="AE41" s="20"/>
      <c r="AF41" s="62"/>
      <c r="AH41" s="184"/>
      <c r="AI41" s="315"/>
      <c r="AJ41" s="316"/>
      <c r="AK41" s="77"/>
      <c r="AL41" s="122">
        <v>1</v>
      </c>
      <c r="AM41" s="121">
        <f>ROUND(DetrRid*Rap1,2)</f>
        <v>1380</v>
      </c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</row>
    <row r="42" spans="1:59" ht="12.75">
      <c r="A42" s="165" t="s">
        <v>71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7"/>
      <c r="Q42" s="165" t="s">
        <v>71</v>
      </c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7"/>
      <c r="AH42" s="106">
        <f>dsfig+IF($V$25&gt;0,dsfg3-dsfig,0)+IF($Y$25&gt;0,dsfhc,0)</f>
        <v>0</v>
      </c>
      <c r="AI42" s="315"/>
      <c r="AJ42" s="316"/>
      <c r="AK42" s="77"/>
      <c r="AL42" s="123">
        <v>10</v>
      </c>
      <c r="AM42" s="124">
        <f>ROUND(DetrRid*Rap1,2)</f>
        <v>1380</v>
      </c>
      <c r="AP42" t="s">
        <v>58</v>
      </c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</row>
    <row r="43" spans="1:59" ht="12.75">
      <c r="A43" s="155" t="s">
        <v>73</v>
      </c>
      <c r="B43" s="156"/>
      <c r="C43" s="156"/>
      <c r="D43" s="156"/>
      <c r="E43" s="156"/>
      <c r="F43" s="157"/>
      <c r="G43" s="46" t="str">
        <f>IF(E17&gt;0,IF(G44&gt;0,Vuota1,"x"),Vuota1)</f>
        <v>        </v>
      </c>
      <c r="H43" s="63"/>
      <c r="I43" s="312" t="s">
        <v>141</v>
      </c>
      <c r="J43" s="158"/>
      <c r="K43" s="158"/>
      <c r="L43" s="158"/>
      <c r="M43" s="2">
        <v>30</v>
      </c>
      <c r="N43" s="20"/>
      <c r="O43" s="20"/>
      <c r="P43" s="62"/>
      <c r="Q43" s="155" t="s">
        <v>73</v>
      </c>
      <c r="R43" s="156"/>
      <c r="S43" s="156"/>
      <c r="T43" s="156"/>
      <c r="U43" s="156"/>
      <c r="V43" s="157"/>
      <c r="W43" s="46" t="str">
        <f>IF(W44&gt;0,Vuota1,"x")</f>
        <v>x</v>
      </c>
      <c r="X43" s="63"/>
      <c r="Y43" s="312" t="s">
        <v>75</v>
      </c>
      <c r="Z43" s="158"/>
      <c r="AA43" s="158"/>
      <c r="AB43" s="158"/>
      <c r="AC43" s="2">
        <v>365</v>
      </c>
      <c r="AD43" s="20"/>
      <c r="AE43" s="20"/>
      <c r="AF43" s="62"/>
      <c r="AI43" s="315"/>
      <c r="AJ43" s="114">
        <v>1000000000</v>
      </c>
      <c r="AK43" s="77"/>
      <c r="AL43" s="130">
        <v>0</v>
      </c>
      <c r="AM43" s="124">
        <v>0</v>
      </c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</row>
    <row r="44" spans="1:59" ht="12.75">
      <c r="A44" s="67" t="s">
        <v>74</v>
      </c>
      <c r="B44" s="68"/>
      <c r="C44" s="68"/>
      <c r="D44" s="68"/>
      <c r="E44" s="68"/>
      <c r="F44" s="20"/>
      <c r="G44" s="2"/>
      <c r="H44" s="63"/>
      <c r="I44" s="63"/>
      <c r="J44" s="63"/>
      <c r="K44" s="158" t="s">
        <v>77</v>
      </c>
      <c r="L44" s="158"/>
      <c r="M44" s="158"/>
      <c r="N44" s="159"/>
      <c r="O44" s="39">
        <f>IF(E17&gt;0,ROUND(AE44/365*M43,0),0)</f>
        <v>0</v>
      </c>
      <c r="P44" s="62"/>
      <c r="Q44" s="67" t="s">
        <v>74</v>
      </c>
      <c r="R44" s="68"/>
      <c r="S44" s="68"/>
      <c r="T44" s="68"/>
      <c r="U44" s="68"/>
      <c r="V44" s="20"/>
      <c r="W44" s="2">
        <f>+G44</f>
        <v>0</v>
      </c>
      <c r="X44" s="63"/>
      <c r="Y44" s="63"/>
      <c r="Z44" s="63"/>
      <c r="AA44" s="158" t="s">
        <v>77</v>
      </c>
      <c r="AB44" s="158"/>
      <c r="AC44" s="158"/>
      <c r="AD44" s="159"/>
      <c r="AE44" s="39">
        <f>IF(Lordo&gt;0,IF(W44&gt;0,IF(Redd_Detraz&lt;8000.01,IF(AH44&gt;AH47,AH44,AH47),AH44),IF(Redd_Detraz&lt;8000.01,IF(AH44&gt;AH46,AH44,AH46),AH44)),0)</f>
        <v>0</v>
      </c>
      <c r="AF44" s="62"/>
      <c r="AH44" s="161">
        <f>IF(Redd_Detraz&gt;0,ROUND((VLOOKUP(Redd_Detraz,Altre_detraz,2)/365*AC43+VLOOKUP(Redd_Detraz,Aum_altre,2)),5),0)</f>
        <v>0</v>
      </c>
      <c r="AI44" s="315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</row>
    <row r="45" spans="1:59" ht="12.75" customHeight="1" thickBot="1">
      <c r="A45" s="6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70"/>
      <c r="Q45" s="69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70"/>
      <c r="AI45" s="315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</row>
    <row r="46" spans="1:59" ht="12.75" customHeight="1" thickBot="1">
      <c r="A46" s="220" t="s">
        <v>142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2"/>
      <c r="O46" s="228">
        <f>+E17-L18</f>
        <v>0</v>
      </c>
      <c r="P46" s="228"/>
      <c r="Q46" s="71" t="s">
        <v>20</v>
      </c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228">
        <f>+Reddito_imponibile_mensile+Gratif_Anno</f>
        <v>0</v>
      </c>
      <c r="AF46" s="228"/>
      <c r="AH46" s="106">
        <v>690</v>
      </c>
      <c r="AI46" s="315"/>
      <c r="AJ46" s="106">
        <v>0.001</v>
      </c>
      <c r="AK46" s="87"/>
      <c r="AL46" s="106">
        <f>VLOOKUP(Rapp,quin,2)</f>
        <v>0</v>
      </c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</row>
    <row r="47" spans="1:59" ht="12.75" customHeight="1" thickBot="1">
      <c r="A47" s="220" t="s">
        <v>143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2"/>
      <c r="O47" s="162">
        <f>ROUND(IreTab/12,5)</f>
        <v>0</v>
      </c>
      <c r="P47" s="162"/>
      <c r="Q47" s="35" t="s">
        <v>60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14">
        <f>IF(Lordo&gt;0,IF(Reddito_imponibile_mensile&gt;0,ROUND((Reddito_imponibile_mensile-VLOOKUP(Reddito_imponibile_mensile,Aliquote,1))*VLOOKUP(Reddito_imponibile_mensile,Aliquote,3),5)+VLOOKUP(Reddito_imponibile_mensile,Aliquote,4),0)+IF(Gratif_Anno&gt;0,ROUND(Gratif_Anno*VLOOKUP(ReddNetto,Aliquote,3),5),0),0)</f>
        <v>0</v>
      </c>
      <c r="AF47" s="314"/>
      <c r="AH47" s="106">
        <v>1380</v>
      </c>
      <c r="AI47" s="315"/>
      <c r="AJ47" s="106">
        <v>15000</v>
      </c>
      <c r="AK47" s="87"/>
      <c r="AL47" s="106">
        <f>+DetrRid</f>
        <v>690</v>
      </c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</row>
    <row r="48" spans="1:59" ht="13.5" thickBot="1">
      <c r="A48" s="220" t="s">
        <v>144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2"/>
      <c r="O48" s="162">
        <f>+M41+O44</f>
        <v>0</v>
      </c>
      <c r="P48" s="162"/>
      <c r="Q48" s="37" t="s">
        <v>36</v>
      </c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162">
        <f>+AC41+AE44</f>
        <v>0</v>
      </c>
      <c r="AF48" s="162"/>
      <c r="AI48" s="315"/>
      <c r="AJ48" s="106">
        <v>40000</v>
      </c>
      <c r="AK48" s="87"/>
      <c r="AL48" s="106">
        <f>VLOOKUP(Rap1,ottan,2)</f>
        <v>1380</v>
      </c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</row>
    <row r="49" spans="1:59" ht="16.5" thickBot="1">
      <c r="A49" s="296" t="s">
        <v>147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97"/>
      <c r="O49" s="326">
        <f>IF(O47-O48&gt;0,O47-O48,0)</f>
        <v>0</v>
      </c>
      <c r="P49" s="178"/>
      <c r="Q49" s="71" t="s">
        <v>61</v>
      </c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177">
        <f>+AE47-AE48</f>
        <v>0</v>
      </c>
      <c r="AF49" s="178"/>
      <c r="AI49" s="315"/>
      <c r="AJ49" s="106">
        <v>80000</v>
      </c>
      <c r="AK49" s="87"/>
      <c r="AL49" s="106">
        <v>0</v>
      </c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</row>
    <row r="50" spans="1:59" ht="16.5" thickBot="1">
      <c r="A50" s="190" t="s">
        <v>146</v>
      </c>
      <c r="B50" s="190"/>
      <c r="C50" s="190"/>
      <c r="D50" s="190"/>
      <c r="E50" s="191" t="str">
        <f>IF(E17&gt;0,VLOOKUP(ReddNetto,Aliquote,3),Vuota1)</f>
        <v>        </v>
      </c>
      <c r="F50" s="191"/>
      <c r="G50" s="152"/>
      <c r="H50" s="152"/>
      <c r="I50" s="152"/>
      <c r="J50" s="152"/>
      <c r="K50" s="323" t="s">
        <v>131</v>
      </c>
      <c r="L50" s="323"/>
      <c r="M50" s="323"/>
      <c r="N50" s="323"/>
      <c r="O50" s="324">
        <f>+O49</f>
        <v>0</v>
      </c>
      <c r="P50" s="325"/>
      <c r="Q50" s="72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73"/>
      <c r="AI50" s="315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</row>
    <row r="51" spans="17:59" ht="12.75">
      <c r="Q51" s="57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62"/>
      <c r="AI51" s="315"/>
      <c r="AJ51" s="137">
        <v>0</v>
      </c>
      <c r="AK51" s="138"/>
      <c r="AL51" s="115">
        <v>0</v>
      </c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</row>
    <row r="52" spans="17:59" ht="13.5">
      <c r="Q52" s="168" t="s">
        <v>21</v>
      </c>
      <c r="R52" s="169"/>
      <c r="S52" s="169"/>
      <c r="T52" s="153"/>
      <c r="U52" s="163" t="s">
        <v>22</v>
      </c>
      <c r="V52" s="154"/>
      <c r="W52" s="164"/>
      <c r="X52" s="163" t="s">
        <v>23</v>
      </c>
      <c r="Y52" s="154"/>
      <c r="Z52" s="164"/>
      <c r="AA52" s="163" t="s">
        <v>24</v>
      </c>
      <c r="AB52" s="164"/>
      <c r="AC52" s="52" t="s">
        <v>25</v>
      </c>
      <c r="AD52" s="163" t="s">
        <v>26</v>
      </c>
      <c r="AE52" s="164"/>
      <c r="AF52" s="62"/>
      <c r="AI52" s="315"/>
      <c r="AJ52" s="139">
        <v>29000.01</v>
      </c>
      <c r="AK52" s="140"/>
      <c r="AL52" s="116">
        <v>10</v>
      </c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</row>
    <row r="53" spans="17:59" ht="12.75">
      <c r="Q53" s="163" t="s">
        <v>27</v>
      </c>
      <c r="R53" s="154"/>
      <c r="S53" s="154"/>
      <c r="T53" s="164"/>
      <c r="U53" s="53"/>
      <c r="V53" s="2">
        <v>1.4</v>
      </c>
      <c r="W53" s="53"/>
      <c r="X53" s="175">
        <f>+ReddNetto</f>
        <v>0</v>
      </c>
      <c r="Y53" s="219"/>
      <c r="Z53" s="176"/>
      <c r="AA53" s="175">
        <f>ROUND(X53*V53%,2)</f>
        <v>0</v>
      </c>
      <c r="AB53" s="176"/>
      <c r="AC53" s="2">
        <v>10</v>
      </c>
      <c r="AD53" s="175">
        <f>ROUND(AA53/AC53,2)</f>
        <v>0</v>
      </c>
      <c r="AE53" s="176"/>
      <c r="AF53" s="62"/>
      <c r="AI53" s="315"/>
      <c r="AJ53" s="139">
        <v>29200.01</v>
      </c>
      <c r="AK53" s="140"/>
      <c r="AL53" s="116">
        <v>20</v>
      </c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</row>
    <row r="54" spans="17:59" ht="12.75">
      <c r="Q54" s="163" t="s">
        <v>28</v>
      </c>
      <c r="R54" s="154"/>
      <c r="S54" s="154"/>
      <c r="T54" s="164"/>
      <c r="U54" s="53"/>
      <c r="V54" s="2">
        <v>0.4</v>
      </c>
      <c r="W54" s="53"/>
      <c r="X54" s="175">
        <f>+ReddNetto</f>
        <v>0</v>
      </c>
      <c r="Y54" s="219"/>
      <c r="Z54" s="176"/>
      <c r="AA54" s="175">
        <f>ROUND(X54*V54%,2)</f>
        <v>0</v>
      </c>
      <c r="AB54" s="176"/>
      <c r="AC54" s="52" t="s">
        <v>25</v>
      </c>
      <c r="AD54" s="163" t="s">
        <v>26</v>
      </c>
      <c r="AE54" s="164"/>
      <c r="AF54" s="62"/>
      <c r="AI54" s="315"/>
      <c r="AJ54" s="139">
        <v>34700.01</v>
      </c>
      <c r="AK54" s="140"/>
      <c r="AL54" s="116">
        <v>30</v>
      </c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</row>
    <row r="55" spans="17:59" ht="12.75">
      <c r="Q55" s="282" t="s">
        <v>87</v>
      </c>
      <c r="R55" s="282"/>
      <c r="S55" s="84">
        <v>16</v>
      </c>
      <c r="T55" s="282" t="s">
        <v>88</v>
      </c>
      <c r="U55" s="282"/>
      <c r="V55" s="282"/>
      <c r="W55" s="282"/>
      <c r="X55" s="283" t="s">
        <v>89</v>
      </c>
      <c r="Y55" s="283"/>
      <c r="Z55" s="50" t="s">
        <v>79</v>
      </c>
      <c r="AA55" s="51"/>
      <c r="AB55" s="39">
        <f>ROUND(AA54*30%,2)</f>
        <v>0</v>
      </c>
      <c r="AC55" s="2">
        <v>10</v>
      </c>
      <c r="AD55" s="175">
        <f>ROUND(AB55/AC55,2)</f>
        <v>0</v>
      </c>
      <c r="AE55" s="176"/>
      <c r="AF55" s="62"/>
      <c r="AI55" s="315"/>
      <c r="AJ55" s="139">
        <v>35000.01</v>
      </c>
      <c r="AK55" s="140"/>
      <c r="AL55" s="116">
        <v>20</v>
      </c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</row>
    <row r="56" spans="17:59" ht="12.75">
      <c r="Q56" s="57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62"/>
      <c r="AI56" s="315"/>
      <c r="AJ56" s="139">
        <v>35100.01</v>
      </c>
      <c r="AK56" s="140"/>
      <c r="AL56" s="116">
        <v>10</v>
      </c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</row>
    <row r="57" spans="17:59" ht="12.75" customHeight="1" thickBot="1">
      <c r="Q57" s="57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62"/>
      <c r="AI57" s="315"/>
      <c r="AJ57" s="141">
        <v>35200.01</v>
      </c>
      <c r="AK57" s="142"/>
      <c r="AL57" s="117">
        <v>0</v>
      </c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</row>
    <row r="58" spans="17:59" ht="12.75">
      <c r="Q58" s="74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</row>
    <row r="59" spans="35:39" ht="12.75">
      <c r="AI59" t="s">
        <v>46</v>
      </c>
      <c r="AJ59" s="19" t="s">
        <v>47</v>
      </c>
      <c r="AK59" s="171" t="s">
        <v>52</v>
      </c>
      <c r="AL59" s="18" t="s">
        <v>48</v>
      </c>
      <c r="AM59" s="18" t="s">
        <v>53</v>
      </c>
    </row>
    <row r="60" spans="36:39" ht="12.75">
      <c r="AJ60" s="86">
        <v>95000</v>
      </c>
      <c r="AK60" s="171"/>
      <c r="AL60" s="106">
        <v>15000</v>
      </c>
      <c r="AM60" s="106">
        <f>IF(AK61&gt;1,ROUND((AK61-1)*AL60,2)+AJ60,AJ60)</f>
        <v>95000</v>
      </c>
    </row>
    <row r="61" spans="36:41" ht="12.75">
      <c r="AJ61" s="18" t="s">
        <v>55</v>
      </c>
      <c r="AK61" s="87">
        <f>+N_Fgl</f>
        <v>0</v>
      </c>
      <c r="AL61" s="18" t="s">
        <v>54</v>
      </c>
      <c r="AM61" s="18" t="s">
        <v>45</v>
      </c>
      <c r="AN61" s="18"/>
      <c r="AO61" s="18" t="s">
        <v>41</v>
      </c>
    </row>
    <row r="62" spans="35:44" ht="12.75">
      <c r="AI62" t="s">
        <v>51</v>
      </c>
      <c r="AJ62" s="106">
        <f>IF(Som_fg&gt;3,1000,800)</f>
        <v>800</v>
      </c>
      <c r="AL62" s="106">
        <f>ROUND(fgl*VLOOKUP($AO$62,IndRapp,2),2)</f>
        <v>0</v>
      </c>
      <c r="AM62" s="112">
        <v>0</v>
      </c>
      <c r="AN62" s="77">
        <v>0</v>
      </c>
      <c r="AO62" s="83">
        <f>ROUND((ImFisFin-Redd_Detraz)/ImFisFin,6)</f>
        <v>1</v>
      </c>
      <c r="AQ62" s="87">
        <f>+dsfig</f>
        <v>0</v>
      </c>
      <c r="AR62" s="87">
        <f>+AQ62</f>
        <v>0</v>
      </c>
    </row>
    <row r="63" spans="35:44" ht="12.75">
      <c r="AI63" t="s">
        <v>49</v>
      </c>
      <c r="AJ63" s="106">
        <f>IF(Som_fg&gt;3,1100,900)</f>
        <v>900</v>
      </c>
      <c r="AL63" s="106">
        <f>ROUND(AJ63*VLOOKUP($AO$62,IndRapp,2),2)</f>
        <v>0</v>
      </c>
      <c r="AM63" s="113">
        <v>0.0001</v>
      </c>
      <c r="AN63" s="77">
        <f>+AO62</f>
        <v>1</v>
      </c>
      <c r="AQ63" s="87">
        <f>+dsfg3</f>
        <v>0</v>
      </c>
      <c r="AR63" s="87">
        <f>+AQ63</f>
        <v>0</v>
      </c>
    </row>
    <row r="64" spans="35:44" ht="12.75">
      <c r="AI64" t="s">
        <v>50</v>
      </c>
      <c r="AJ64" s="106">
        <v>220</v>
      </c>
      <c r="AL64" s="106">
        <f>ROUND(fglh*VLOOKUP($AO$62,IndRapp,2),2)</f>
        <v>0</v>
      </c>
      <c r="AM64" s="110">
        <v>1</v>
      </c>
      <c r="AN64" s="77">
        <v>0</v>
      </c>
      <c r="AQ64" s="87">
        <f>+dsfhc</f>
        <v>0</v>
      </c>
      <c r="AR64" s="87">
        <f>+AQ64</f>
        <v>0</v>
      </c>
    </row>
    <row r="65" spans="38:40" ht="12.75">
      <c r="AL65" s="85"/>
      <c r="AM65" s="110">
        <v>10</v>
      </c>
      <c r="AN65" s="77">
        <f>+AO62</f>
        <v>1</v>
      </c>
    </row>
    <row r="66" spans="35:38" ht="12.75">
      <c r="AI66" t="s">
        <v>57</v>
      </c>
      <c r="AJ66" s="87">
        <v>750</v>
      </c>
      <c r="AL66" s="106">
        <f>ROUND(Altri*VLOOKUP(AO67,Rapp_Altri,2),4)</f>
        <v>0</v>
      </c>
    </row>
    <row r="67" ht="12.75">
      <c r="AO67" s="83">
        <f>TRUNC((80000-Redd_Detraz)/80000,6)</f>
        <v>1</v>
      </c>
    </row>
    <row r="68" spans="35:41" ht="12.75">
      <c r="AI68" t="s">
        <v>72</v>
      </c>
      <c r="AL68" t="s">
        <v>41</v>
      </c>
      <c r="AN68" s="131">
        <v>0</v>
      </c>
      <c r="AO68" s="87">
        <v>0</v>
      </c>
    </row>
    <row r="69" spans="35:41" ht="12.75">
      <c r="AI69" s="106">
        <v>1</v>
      </c>
      <c r="AJ69" s="106">
        <v>1840</v>
      </c>
      <c r="AL69" s="83">
        <f>IF(ROUND((15000-Redd_Detraz)/7000,6)&gt;0,ROUND((15000-Redd_Detraz)/7000,6),0)</f>
        <v>2.142857</v>
      </c>
      <c r="AN69" s="132">
        <v>0.0001</v>
      </c>
      <c r="AO69" s="133">
        <f>+AO67</f>
        <v>1</v>
      </c>
    </row>
    <row r="70" spans="35:41" ht="12.75">
      <c r="AI70" s="106">
        <v>8000.01</v>
      </c>
      <c r="AJ70" s="106">
        <f>1338+ROUND(502*AL69,2)</f>
        <v>2413.71</v>
      </c>
      <c r="AL70">
        <f>ROUND((55000-Redd_Detraz)/40000,6)</f>
        <v>1.375</v>
      </c>
      <c r="AN70" s="107">
        <v>1</v>
      </c>
      <c r="AO70" s="87">
        <v>0</v>
      </c>
    </row>
    <row r="71" spans="35:41" ht="12.75">
      <c r="AI71" s="106">
        <v>15000.01</v>
      </c>
      <c r="AJ71" s="106">
        <f>ROUND(1338*AL70,2)</f>
        <v>1839.75</v>
      </c>
      <c r="AN71" s="107">
        <v>10</v>
      </c>
      <c r="AO71" s="133">
        <f>+AO67</f>
        <v>1</v>
      </c>
    </row>
    <row r="72" spans="35:41" ht="12.75">
      <c r="AI72" s="106">
        <v>55000.01</v>
      </c>
      <c r="AJ72" s="106">
        <v>0</v>
      </c>
      <c r="AN72" s="12"/>
      <c r="AO72" s="83"/>
    </row>
    <row r="73" spans="35:36" ht="12.75">
      <c r="AI73" s="106">
        <v>100000000</v>
      </c>
      <c r="AJ73" s="106">
        <v>0</v>
      </c>
    </row>
    <row r="75" spans="35:36" ht="12.75">
      <c r="AI75" s="108">
        <v>0</v>
      </c>
      <c r="AJ75" s="87">
        <v>0</v>
      </c>
    </row>
    <row r="76" spans="35:36" ht="12.75">
      <c r="AI76" s="108">
        <v>23000.01</v>
      </c>
      <c r="AJ76" s="87">
        <v>10</v>
      </c>
    </row>
    <row r="77" spans="35:36" ht="12.75">
      <c r="AI77" s="108">
        <v>24000.01</v>
      </c>
      <c r="AJ77" s="87">
        <v>20</v>
      </c>
    </row>
    <row r="78" spans="35:36" ht="12.75">
      <c r="AI78" s="108">
        <v>25000.01</v>
      </c>
      <c r="AJ78" s="87">
        <v>30</v>
      </c>
    </row>
    <row r="79" spans="35:36" ht="12.75">
      <c r="AI79" s="108">
        <v>26000.01</v>
      </c>
      <c r="AJ79" s="87">
        <v>40</v>
      </c>
    </row>
    <row r="80" spans="35:36" ht="12.75">
      <c r="AI80" s="108">
        <v>27700.01</v>
      </c>
      <c r="AJ80" s="87">
        <v>25</v>
      </c>
    </row>
    <row r="81" spans="1:36" ht="12.75">
      <c r="A81" s="4"/>
      <c r="AI81" s="108">
        <v>28000.01</v>
      </c>
      <c r="AJ81" s="87">
        <v>0</v>
      </c>
    </row>
    <row r="111" ht="12.75">
      <c r="A111" s="4" t="s">
        <v>100</v>
      </c>
    </row>
    <row r="124" ht="12.75">
      <c r="A124" s="90"/>
    </row>
  </sheetData>
  <sheetProtection password="BE24" sheet="1" objects="1" scenarios="1" selectLockedCells="1"/>
  <mergeCells count="164">
    <mergeCell ref="O50:P50"/>
    <mergeCell ref="X12:AA12"/>
    <mergeCell ref="H11:K11"/>
    <mergeCell ref="X11:AA11"/>
    <mergeCell ref="O48:P48"/>
    <mergeCell ref="O49:P49"/>
    <mergeCell ref="A37:L37"/>
    <mergeCell ref="A38:L38"/>
    <mergeCell ref="H24:J24"/>
    <mergeCell ref="H12:K12"/>
    <mergeCell ref="E9:G9"/>
    <mergeCell ref="H9:K9"/>
    <mergeCell ref="E10:G10"/>
    <mergeCell ref="H10:K10"/>
    <mergeCell ref="M6:P6"/>
    <mergeCell ref="O47:P47"/>
    <mergeCell ref="A39:L39"/>
    <mergeCell ref="A40:P40"/>
    <mergeCell ref="A41:L41"/>
    <mergeCell ref="A42:P42"/>
    <mergeCell ref="A35:P35"/>
    <mergeCell ref="A36:P36"/>
    <mergeCell ref="E11:G11"/>
    <mergeCell ref="E12:G12"/>
    <mergeCell ref="A43:F43"/>
    <mergeCell ref="I43:L43"/>
    <mergeCell ref="K44:N44"/>
    <mergeCell ref="O46:P46"/>
    <mergeCell ref="M25:O27"/>
    <mergeCell ref="B24:D24"/>
    <mergeCell ref="E24:G24"/>
    <mergeCell ref="P25:P27"/>
    <mergeCell ref="A33:C33"/>
    <mergeCell ref="K33:O34"/>
    <mergeCell ref="P33:P34"/>
    <mergeCell ref="M28:P29"/>
    <mergeCell ref="E13:G13"/>
    <mergeCell ref="E14:G14"/>
    <mergeCell ref="E15:G15"/>
    <mergeCell ref="H15:K15"/>
    <mergeCell ref="H14:K14"/>
    <mergeCell ref="H13:K13"/>
    <mergeCell ref="E8:G8"/>
    <mergeCell ref="H8:K8"/>
    <mergeCell ref="D5:I5"/>
    <mergeCell ref="J5:L5"/>
    <mergeCell ref="C6:G6"/>
    <mergeCell ref="A7:G7"/>
    <mergeCell ref="H7:L7"/>
    <mergeCell ref="A6:B6"/>
    <mergeCell ref="I6:K6"/>
    <mergeCell ref="N5:P5"/>
    <mergeCell ref="A1:P1"/>
    <mergeCell ref="A2:P2"/>
    <mergeCell ref="A3:P3"/>
    <mergeCell ref="J4:K4"/>
    <mergeCell ref="B4:G4"/>
    <mergeCell ref="Q1:AF1"/>
    <mergeCell ref="Q2:AF2"/>
    <mergeCell ref="AF33:AF34"/>
    <mergeCell ref="U15:W15"/>
    <mergeCell ref="Q7:W7"/>
    <mergeCell ref="Q6:S6"/>
    <mergeCell ref="Q20:AF20"/>
    <mergeCell ref="U10:W10"/>
    <mergeCell ref="U11:W11"/>
    <mergeCell ref="U12:W12"/>
    <mergeCell ref="AH36:AH37"/>
    <mergeCell ref="AH40:AH41"/>
    <mergeCell ref="AI1:AL1"/>
    <mergeCell ref="AI12:AM12"/>
    <mergeCell ref="AI19:AI57"/>
    <mergeCell ref="AJ19:AJ37"/>
    <mergeCell ref="AJ39:AJ42"/>
    <mergeCell ref="Q3:AF3"/>
    <mergeCell ref="T5:Y5"/>
    <mergeCell ref="Z5:AB5"/>
    <mergeCell ref="AK59:AK60"/>
    <mergeCell ref="Q40:AF40"/>
    <mergeCell ref="AA54:AB54"/>
    <mergeCell ref="AE49:AF49"/>
    <mergeCell ref="AE47:AF47"/>
    <mergeCell ref="AA52:AB52"/>
    <mergeCell ref="AD53:AE53"/>
    <mergeCell ref="AD55:AE55"/>
    <mergeCell ref="AD54:AE54"/>
    <mergeCell ref="Q42:AF42"/>
    <mergeCell ref="Q52:T52"/>
    <mergeCell ref="AA53:AB53"/>
    <mergeCell ref="X53:Z53"/>
    <mergeCell ref="U52:W52"/>
    <mergeCell ref="Q53:T53"/>
    <mergeCell ref="Q54:T54"/>
    <mergeCell ref="Q55:R55"/>
    <mergeCell ref="AD52:AE52"/>
    <mergeCell ref="AE48:AF48"/>
    <mergeCell ref="AE46:AF46"/>
    <mergeCell ref="Y43:AB43"/>
    <mergeCell ref="AA44:AD44"/>
    <mergeCell ref="X52:Z52"/>
    <mergeCell ref="U8:W8"/>
    <mergeCell ref="X8:AA8"/>
    <mergeCell ref="Q36:AF36"/>
    <mergeCell ref="AF25:AF27"/>
    <mergeCell ref="R24:T24"/>
    <mergeCell ref="U24:W24"/>
    <mergeCell ref="X24:Z24"/>
    <mergeCell ref="Q35:AF35"/>
    <mergeCell ref="AC25:AE27"/>
    <mergeCell ref="AA33:AE34"/>
    <mergeCell ref="X10:AA10"/>
    <mergeCell ref="X54:Z54"/>
    <mergeCell ref="U17:W17"/>
    <mergeCell ref="Q41:AB41"/>
    <mergeCell ref="Q38:AB38"/>
    <mergeCell ref="Q37:AB37"/>
    <mergeCell ref="Q33:S33"/>
    <mergeCell ref="Q21:S21"/>
    <mergeCell ref="Q43:V43"/>
    <mergeCell ref="Q39:AB39"/>
    <mergeCell ref="T55:W55"/>
    <mergeCell ref="X55:Y55"/>
    <mergeCell ref="X14:AA14"/>
    <mergeCell ref="U13:W13"/>
    <mergeCell ref="X13:AA13"/>
    <mergeCell ref="AU1:AW2"/>
    <mergeCell ref="AU21:AW25"/>
    <mergeCell ref="AU4:AW4"/>
    <mergeCell ref="AU5:AW5"/>
    <mergeCell ref="AU3:AW3"/>
    <mergeCell ref="A21:C21"/>
    <mergeCell ref="AC16:AD16"/>
    <mergeCell ref="Z4:AA4"/>
    <mergeCell ref="V6:Z6"/>
    <mergeCell ref="AB6:AC6"/>
    <mergeCell ref="T6:U6"/>
    <mergeCell ref="X15:AA15"/>
    <mergeCell ref="U9:W9"/>
    <mergeCell ref="X7:AB7"/>
    <mergeCell ref="X9:AA9"/>
    <mergeCell ref="H18:K18"/>
    <mergeCell ref="A17:D17"/>
    <mergeCell ref="AD5:AF5"/>
    <mergeCell ref="AU30:AW38"/>
    <mergeCell ref="A15:D15"/>
    <mergeCell ref="A14:D14"/>
    <mergeCell ref="U14:W14"/>
    <mergeCell ref="E17:G17"/>
    <mergeCell ref="A20:P20"/>
    <mergeCell ref="X16:AA16"/>
    <mergeCell ref="X17:AA17"/>
    <mergeCell ref="A46:N46"/>
    <mergeCell ref="A47:N47"/>
    <mergeCell ref="Q16:T16"/>
    <mergeCell ref="U16:W16"/>
    <mergeCell ref="H17:K17"/>
    <mergeCell ref="H16:K16"/>
    <mergeCell ref="A16:D16"/>
    <mergeCell ref="E16:G16"/>
    <mergeCell ref="A48:N48"/>
    <mergeCell ref="A49:N49"/>
    <mergeCell ref="A50:D50"/>
    <mergeCell ref="E50:F50"/>
    <mergeCell ref="K50:N50"/>
  </mergeCells>
  <conditionalFormatting sqref="Z27">
    <cfRule type="expression" priority="1" dxfId="0" stopIfTrue="1">
      <formula>$T$23&gt;2</formula>
    </cfRule>
  </conditionalFormatting>
  <conditionalFormatting sqref="Z28">
    <cfRule type="expression" priority="2" dxfId="0" stopIfTrue="1">
      <formula>$T$23&gt;3</formula>
    </cfRule>
  </conditionalFormatting>
  <conditionalFormatting sqref="Z29">
    <cfRule type="expression" priority="3" dxfId="0" stopIfTrue="1">
      <formula>$T$23&gt;4</formula>
    </cfRule>
  </conditionalFormatting>
  <conditionalFormatting sqref="Z30">
    <cfRule type="expression" priority="4" dxfId="0" stopIfTrue="1">
      <formula>$T$23&gt;5</formula>
    </cfRule>
  </conditionalFormatting>
  <conditionalFormatting sqref="Z31">
    <cfRule type="expression" priority="5" dxfId="0" stopIfTrue="1">
      <formula>$T$23&gt;6</formula>
    </cfRule>
  </conditionalFormatting>
  <conditionalFormatting sqref="AB25">
    <cfRule type="expression" priority="6" dxfId="1" stopIfTrue="1">
      <formula>$T$23&gt;0</formula>
    </cfRule>
  </conditionalFormatting>
  <conditionalFormatting sqref="AB26">
    <cfRule type="expression" priority="7" dxfId="1" stopIfTrue="1">
      <formula>$T$23&gt;1</formula>
    </cfRule>
  </conditionalFormatting>
  <conditionalFormatting sqref="AB27">
    <cfRule type="expression" priority="8" dxfId="1" stopIfTrue="1">
      <formula>$T$23&gt;2</formula>
    </cfRule>
  </conditionalFormatting>
  <conditionalFormatting sqref="AB28">
    <cfRule type="expression" priority="9" dxfId="1" stopIfTrue="1">
      <formula>$T$23&gt;3</formula>
    </cfRule>
  </conditionalFormatting>
  <conditionalFormatting sqref="AB29">
    <cfRule type="expression" priority="10" dxfId="1" stopIfTrue="1">
      <formula>$T$23&gt;4</formula>
    </cfRule>
  </conditionalFormatting>
  <conditionalFormatting sqref="AB30">
    <cfRule type="expression" priority="11" dxfId="1" stopIfTrue="1">
      <formula>$T$23&gt;5</formula>
    </cfRule>
  </conditionalFormatting>
  <conditionalFormatting sqref="AB31">
    <cfRule type="expression" priority="12" dxfId="1" stopIfTrue="1">
      <formula>$T$23&gt;6</formula>
    </cfRule>
  </conditionalFormatting>
  <conditionalFormatting sqref="Q26">
    <cfRule type="expression" priority="13" dxfId="2" stopIfTrue="1">
      <formula>$T$23&gt;1</formula>
    </cfRule>
  </conditionalFormatting>
  <conditionalFormatting sqref="Q25 T25 W25 Z25 G25 D25">
    <cfRule type="expression" priority="14" dxfId="2" stopIfTrue="1">
      <formula>$T$23&gt;0</formula>
    </cfRule>
  </conditionalFormatting>
  <conditionalFormatting sqref="R25 J25:K25">
    <cfRule type="expression" priority="15" dxfId="3" stopIfTrue="1">
      <formula>$T$23&gt;0</formula>
    </cfRule>
  </conditionalFormatting>
  <conditionalFormatting sqref="U25 X25 E25 H25">
    <cfRule type="expression" priority="16" dxfId="4" stopIfTrue="1">
      <formula>$T$23&gt;0</formula>
    </cfRule>
  </conditionalFormatting>
  <conditionalFormatting sqref="Y21">
    <cfRule type="expression" priority="17" dxfId="5" stopIfTrue="1">
      <formula>$T$21="si"</formula>
    </cfRule>
  </conditionalFormatting>
  <conditionalFormatting sqref="AD23 AA25 C25 F25 I25 V25:V31 S25:S31 Y25:Y31">
    <cfRule type="expression" priority="18" dxfId="5" stopIfTrue="1">
      <formula>$T$23&gt;0</formula>
    </cfRule>
  </conditionalFormatting>
  <conditionalFormatting sqref="AF23">
    <cfRule type="expression" priority="19" dxfId="5" stopIfTrue="1">
      <formula>$AD$23&gt;0</formula>
    </cfRule>
  </conditionalFormatting>
  <conditionalFormatting sqref="F26 C26 I26 AA26">
    <cfRule type="expression" priority="20" dxfId="5" stopIfTrue="1">
      <formula>$T$23&gt;1</formula>
    </cfRule>
  </conditionalFormatting>
  <conditionalFormatting sqref="F27 C27 I27 AA27">
    <cfRule type="expression" priority="21" dxfId="5" stopIfTrue="1">
      <formula>$T$23&gt;2</formula>
    </cfRule>
  </conditionalFormatting>
  <conditionalFormatting sqref="F28 C28 I28 AA28">
    <cfRule type="expression" priority="22" dxfId="5" stopIfTrue="1">
      <formula>$T$23&gt;3</formula>
    </cfRule>
  </conditionalFormatting>
  <conditionalFormatting sqref="F29 C29 I29 AA29">
    <cfRule type="expression" priority="23" dxfId="5" stopIfTrue="1">
      <formula>$T$23&gt;4</formula>
    </cfRule>
  </conditionalFormatting>
  <conditionalFormatting sqref="AA30">
    <cfRule type="expression" priority="24" dxfId="5" stopIfTrue="1">
      <formula>$T$23&gt;5</formula>
    </cfRule>
  </conditionalFormatting>
  <conditionalFormatting sqref="AA31">
    <cfRule type="expression" priority="25" dxfId="5" stopIfTrue="1">
      <formula>$T$23&gt;6</formula>
    </cfRule>
  </conditionalFormatting>
  <conditionalFormatting sqref="Y34">
    <cfRule type="expression" priority="26" dxfId="5" stopIfTrue="1">
      <formula>$T$33="si"</formula>
    </cfRule>
  </conditionalFormatting>
  <conditionalFormatting sqref="Y33 AF33:AF34 P33:P34">
    <cfRule type="expression" priority="27" dxfId="5" stopIfTrue="1">
      <formula>$T$33&gt;0</formula>
    </cfRule>
  </conditionalFormatting>
  <conditionalFormatting sqref="AA33:AE34 K33:O34">
    <cfRule type="expression" priority="28" dxfId="1" stopIfTrue="1">
      <formula>$T$33&gt;0</formula>
    </cfRule>
  </conditionalFormatting>
  <conditionalFormatting sqref="R26 T26:U26 W26:X26 Z26 G26:H26 D26:E26 J26:K26">
    <cfRule type="expression" priority="29" dxfId="3" stopIfTrue="1">
      <formula>$T$23&gt;1</formula>
    </cfRule>
  </conditionalFormatting>
  <conditionalFormatting sqref="R27 T27:U27 W27:X27 G27:H27 D27:E27 J27:K27">
    <cfRule type="expression" priority="30" dxfId="3" stopIfTrue="1">
      <formula>$T$23&gt;2</formula>
    </cfRule>
  </conditionalFormatting>
  <conditionalFormatting sqref="Q27">
    <cfRule type="expression" priority="31" dxfId="2" stopIfTrue="1">
      <formula>$T$23&gt;2</formula>
    </cfRule>
  </conditionalFormatting>
  <conditionalFormatting sqref="Q28">
    <cfRule type="expression" priority="32" dxfId="2" stopIfTrue="1">
      <formula>$T$23&gt;3</formula>
    </cfRule>
  </conditionalFormatting>
  <conditionalFormatting sqref="R28 T28:U28 W28:X28 G28:H28 D28:E28 J28:K28">
    <cfRule type="expression" priority="33" dxfId="3" stopIfTrue="1">
      <formula>$T$23&gt;3</formula>
    </cfRule>
  </conditionalFormatting>
  <conditionalFormatting sqref="Q29">
    <cfRule type="expression" priority="34" dxfId="2" stopIfTrue="1">
      <formula>$T$23&gt;4</formula>
    </cfRule>
  </conditionalFormatting>
  <conditionalFormatting sqref="R29 T29:U29 W29:X29 G29:H29 D29:E29 J29:K29">
    <cfRule type="expression" priority="35" dxfId="3" stopIfTrue="1">
      <formula>$T$23&gt;4</formula>
    </cfRule>
  </conditionalFormatting>
  <conditionalFormatting sqref="Q30">
    <cfRule type="expression" priority="36" dxfId="2" stopIfTrue="1">
      <formula>$T$23&gt;5</formula>
    </cfRule>
  </conditionalFormatting>
  <conditionalFormatting sqref="R30 T30:U30 W30:X30">
    <cfRule type="expression" priority="37" dxfId="3" stopIfTrue="1">
      <formula>$T$23&gt;5</formula>
    </cfRule>
  </conditionalFormatting>
  <conditionalFormatting sqref="Q31">
    <cfRule type="expression" priority="38" dxfId="2" stopIfTrue="1">
      <formula>$T$23&gt;6</formula>
    </cfRule>
  </conditionalFormatting>
  <conditionalFormatting sqref="R31 T31:U31 W31:X31">
    <cfRule type="expression" priority="39" dxfId="3" stopIfTrue="1">
      <formula>$T$23&gt;6</formula>
    </cfRule>
  </conditionalFormatting>
  <conditionalFormatting sqref="L25">
    <cfRule type="expression" priority="40" dxfId="1" stopIfTrue="1">
      <formula>$D$23&gt;0</formula>
    </cfRule>
  </conditionalFormatting>
  <conditionalFormatting sqref="N23">
    <cfRule type="expression" priority="41" dxfId="5" stopIfTrue="1">
      <formula>$D$23&gt;0</formula>
    </cfRule>
  </conditionalFormatting>
  <conditionalFormatting sqref="C30 F30 I30">
    <cfRule type="expression" priority="42" dxfId="5" stopIfTrue="1">
      <formula>$D$23&gt;5</formula>
    </cfRule>
  </conditionalFormatting>
  <conditionalFormatting sqref="C31 F31 I31">
    <cfRule type="expression" priority="43" dxfId="5" stopIfTrue="1">
      <formula>$D$23&gt;6</formula>
    </cfRule>
  </conditionalFormatting>
  <conditionalFormatting sqref="I34">
    <cfRule type="expression" priority="44" dxfId="5" stopIfTrue="1">
      <formula>$D$33="si"</formula>
    </cfRule>
  </conditionalFormatting>
  <conditionalFormatting sqref="A30">
    <cfRule type="expression" priority="45" dxfId="2" stopIfTrue="1">
      <formula>$D$23&gt;5</formula>
    </cfRule>
  </conditionalFormatting>
  <conditionalFormatting sqref="G30:H30 D30:E30 B30 J30:K30">
    <cfRule type="expression" priority="46" dxfId="3" stopIfTrue="1">
      <formula>$D$23&gt;5</formula>
    </cfRule>
  </conditionalFormatting>
  <conditionalFormatting sqref="A31">
    <cfRule type="expression" priority="47" dxfId="2" stopIfTrue="1">
      <formula>$D$23&gt;6</formula>
    </cfRule>
  </conditionalFormatting>
  <conditionalFormatting sqref="G31:H31 D31:E31 B31 J31:K31">
    <cfRule type="expression" priority="48" dxfId="3" stopIfTrue="1">
      <formula>$D$23&gt;6</formula>
    </cfRule>
  </conditionalFormatting>
  <conditionalFormatting sqref="A26">
    <cfRule type="expression" priority="49" dxfId="2" stopIfTrue="1">
      <formula>$D$23&gt;1</formula>
    </cfRule>
  </conditionalFormatting>
  <conditionalFormatting sqref="A25">
    <cfRule type="expression" priority="50" dxfId="2" stopIfTrue="1">
      <formula>$D$23&gt;0</formula>
    </cfRule>
  </conditionalFormatting>
  <conditionalFormatting sqref="B25">
    <cfRule type="expression" priority="51" dxfId="3" stopIfTrue="1">
      <formula>$D$23&gt;0</formula>
    </cfRule>
  </conditionalFormatting>
  <conditionalFormatting sqref="B26">
    <cfRule type="expression" priority="52" dxfId="3" stopIfTrue="1">
      <formula>$D$23&gt;1</formula>
    </cfRule>
  </conditionalFormatting>
  <conditionalFormatting sqref="B27">
    <cfRule type="expression" priority="53" dxfId="3" stopIfTrue="1">
      <formula>$D$23&gt;2</formula>
    </cfRule>
  </conditionalFormatting>
  <conditionalFormatting sqref="A27">
    <cfRule type="expression" priority="54" dxfId="2" stopIfTrue="1">
      <formula>$D$23&gt;2</formula>
    </cfRule>
  </conditionalFormatting>
  <conditionalFormatting sqref="A28">
    <cfRule type="expression" priority="55" dxfId="2" stopIfTrue="1">
      <formula>$D$23&gt;3</formula>
    </cfRule>
  </conditionalFormatting>
  <conditionalFormatting sqref="B28">
    <cfRule type="expression" priority="56" dxfId="3" stopIfTrue="1">
      <formula>$D$23&gt;3</formula>
    </cfRule>
  </conditionalFormatting>
  <conditionalFormatting sqref="A29">
    <cfRule type="expression" priority="57" dxfId="2" stopIfTrue="1">
      <formula>$D$23&gt;4</formula>
    </cfRule>
  </conditionalFormatting>
  <conditionalFormatting sqref="B29">
    <cfRule type="expression" priority="58" dxfId="3" stopIfTrue="1">
      <formula>$D$23&gt;4</formula>
    </cfRule>
  </conditionalFormatting>
  <conditionalFormatting sqref="L27">
    <cfRule type="expression" priority="59" dxfId="1" stopIfTrue="1">
      <formula>$D$23&gt;2</formula>
    </cfRule>
  </conditionalFormatting>
  <conditionalFormatting sqref="L28">
    <cfRule type="expression" priority="60" dxfId="1" stopIfTrue="1">
      <formula>$D$23&gt;3</formula>
    </cfRule>
  </conditionalFormatting>
  <conditionalFormatting sqref="L29">
    <cfRule type="expression" priority="61" dxfId="1" stopIfTrue="1">
      <formula>$D$23&gt;4</formula>
    </cfRule>
  </conditionalFormatting>
  <conditionalFormatting sqref="L30">
    <cfRule type="expression" priority="62" dxfId="1" stopIfTrue="1">
      <formula>$D$23&gt;5</formula>
    </cfRule>
  </conditionalFormatting>
  <conditionalFormatting sqref="L31">
    <cfRule type="expression" priority="63" dxfId="1" stopIfTrue="1">
      <formula>$D$23&gt;6</formula>
    </cfRule>
  </conditionalFormatting>
  <conditionalFormatting sqref="L26">
    <cfRule type="expression" priority="64" dxfId="1" stopIfTrue="1">
      <formula>$D$23&gt;1</formula>
    </cfRule>
  </conditionalFormatting>
  <printOptions/>
  <pageMargins left="0.1968503937007874" right="0" top="0.984251968503937" bottom="0.5905511811023623" header="0.5118110236220472" footer="0.5118110236220472"/>
  <pageSetup blackAndWhite="1" horizontalDpi="360" verticalDpi="360" orientation="portrait" paperSize="9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C50"/>
  <sheetViews>
    <sheetView workbookViewId="0" topLeftCell="A1">
      <selection activeCell="E2" sqref="E2:F3"/>
    </sheetView>
  </sheetViews>
  <sheetFormatPr defaultColWidth="9.33203125" defaultRowHeight="12.75"/>
  <cols>
    <col min="3" max="3" width="15.66015625" style="0" bestFit="1" customWidth="1"/>
    <col min="7" max="7" width="11.66015625" style="0" customWidth="1"/>
  </cols>
  <sheetData>
    <row r="1" spans="1:29" ht="13.5" thickBo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</row>
    <row r="2" spans="1:29" ht="13.5" thickTop="1">
      <c r="A2" s="87"/>
      <c r="B2" s="87"/>
      <c r="C2" s="87"/>
      <c r="D2" s="87"/>
      <c r="E2" s="333">
        <v>2007</v>
      </c>
      <c r="F2" s="334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1:29" ht="13.5" thickBot="1">
      <c r="A3" s="87"/>
      <c r="B3" s="87"/>
      <c r="C3" s="87"/>
      <c r="D3" s="87"/>
      <c r="E3" s="335"/>
      <c r="F3" s="336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</row>
    <row r="4" spans="1:29" ht="16.5" thickTop="1">
      <c r="A4" s="87"/>
      <c r="B4" s="87"/>
      <c r="C4" s="340" t="s">
        <v>107</v>
      </c>
      <c r="D4" s="341"/>
      <c r="E4" s="253" t="s">
        <v>98</v>
      </c>
      <c r="F4" s="255"/>
      <c r="G4" s="342" t="s">
        <v>101</v>
      </c>
      <c r="H4" s="343"/>
      <c r="I4" s="344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</row>
    <row r="5" spans="1:29" ht="15.75">
      <c r="A5" s="87"/>
      <c r="B5" s="87"/>
      <c r="C5" s="88" t="s">
        <v>95</v>
      </c>
      <c r="D5" s="89" t="s">
        <v>18</v>
      </c>
      <c r="E5" s="256"/>
      <c r="F5" s="258"/>
      <c r="G5" s="337" t="s">
        <v>104</v>
      </c>
      <c r="H5" s="338" t="s">
        <v>102</v>
      </c>
      <c r="I5" s="339" t="s">
        <v>103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</row>
    <row r="6" spans="1:29" ht="12.75">
      <c r="A6" s="87"/>
      <c r="B6" s="87"/>
      <c r="C6" s="101">
        <v>15000</v>
      </c>
      <c r="D6" s="102">
        <v>0.23</v>
      </c>
      <c r="E6" s="256"/>
      <c r="F6" s="258"/>
      <c r="G6" s="337"/>
      <c r="H6" s="338"/>
      <c r="I6" s="339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</row>
    <row r="7" spans="1:29" ht="12.75">
      <c r="A7" s="87"/>
      <c r="B7" s="87"/>
      <c r="C7" s="101">
        <v>28000</v>
      </c>
      <c r="D7" s="103">
        <v>0.27</v>
      </c>
      <c r="E7" s="256"/>
      <c r="F7" s="258"/>
      <c r="G7" s="337" t="s">
        <v>105</v>
      </c>
      <c r="H7" s="338" t="s">
        <v>106</v>
      </c>
      <c r="I7" s="339" t="s">
        <v>106</v>
      </c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</row>
    <row r="8" spans="1:29" ht="12.75">
      <c r="A8" s="87"/>
      <c r="B8" s="87"/>
      <c r="C8" s="101">
        <v>55000</v>
      </c>
      <c r="D8" s="103">
        <v>0.38</v>
      </c>
      <c r="E8" s="256"/>
      <c r="F8" s="258"/>
      <c r="G8" s="337"/>
      <c r="H8" s="338"/>
      <c r="I8" s="339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</row>
    <row r="9" spans="1:29" ht="12.75">
      <c r="A9" s="87"/>
      <c r="B9" s="87"/>
      <c r="C9" s="101">
        <v>75000</v>
      </c>
      <c r="D9" s="103">
        <v>0.41</v>
      </c>
      <c r="E9" s="256"/>
      <c r="F9" s="258"/>
      <c r="G9" s="327">
        <v>0.025</v>
      </c>
      <c r="H9" s="329">
        <v>0.0885</v>
      </c>
      <c r="I9" s="331">
        <v>0.0035</v>
      </c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</row>
    <row r="10" spans="1:29" ht="13.5" thickBot="1">
      <c r="A10" s="87"/>
      <c r="B10" s="87"/>
      <c r="C10" s="104" t="s">
        <v>96</v>
      </c>
      <c r="D10" s="105">
        <v>0.43</v>
      </c>
      <c r="E10" s="256"/>
      <c r="F10" s="258"/>
      <c r="G10" s="328"/>
      <c r="H10" s="330"/>
      <c r="I10" s="332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</row>
    <row r="11" spans="1:29" ht="13.5" thickTop="1">
      <c r="A11" s="87"/>
      <c r="B11" s="87"/>
      <c r="C11" s="92"/>
      <c r="D11" s="93"/>
      <c r="E11" s="256"/>
      <c r="F11" s="258"/>
      <c r="G11" s="96"/>
      <c r="H11" s="97"/>
      <c r="I11" s="98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</row>
    <row r="12" spans="1:29" ht="12.75">
      <c r="A12" s="87"/>
      <c r="B12" s="87"/>
      <c r="C12" s="92"/>
      <c r="D12" s="93"/>
      <c r="E12" s="256"/>
      <c r="F12" s="258"/>
      <c r="G12" s="92"/>
      <c r="H12" s="93"/>
      <c r="I12" s="99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</row>
    <row r="13" spans="1:29" ht="12.75">
      <c r="A13" s="87"/>
      <c r="B13" s="87"/>
      <c r="C13" s="92"/>
      <c r="D13" s="93"/>
      <c r="E13" s="256"/>
      <c r="F13" s="258"/>
      <c r="G13" s="92"/>
      <c r="H13" s="93"/>
      <c r="I13" s="99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</row>
    <row r="14" spans="1:29" ht="12.75">
      <c r="A14" s="87"/>
      <c r="B14" s="87"/>
      <c r="C14" s="92"/>
      <c r="D14" s="93"/>
      <c r="E14" s="256"/>
      <c r="F14" s="258"/>
      <c r="G14" s="92"/>
      <c r="H14" s="93"/>
      <c r="I14" s="99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</row>
    <row r="15" spans="1:29" ht="12.75" customHeight="1" thickBot="1">
      <c r="A15" s="87"/>
      <c r="B15" s="87"/>
      <c r="C15" s="94"/>
      <c r="D15" s="95"/>
      <c r="E15" s="259"/>
      <c r="F15" s="261"/>
      <c r="G15" s="94"/>
      <c r="H15" s="95"/>
      <c r="I15" s="100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</row>
    <row r="16" spans="1:29" ht="13.5" thickTop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</row>
    <row r="17" spans="1:29" ht="12.7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</row>
    <row r="18" spans="1:29" ht="12.7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</row>
    <row r="19" spans="1:29" ht="12.7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</row>
    <row r="20" spans="1:29" ht="12.75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</row>
    <row r="21" spans="1:29" ht="12.7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</row>
    <row r="22" spans="1:29" ht="12.7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</row>
    <row r="23" spans="1:29" ht="12.7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</row>
    <row r="24" spans="1:29" ht="12.7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</row>
    <row r="25" spans="1:29" ht="12.7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</row>
    <row r="26" spans="1:29" ht="12.7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</row>
    <row r="27" spans="1:29" ht="12.7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</row>
    <row r="28" spans="1:29" ht="12.7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</row>
    <row r="29" spans="1:29" ht="12.7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</row>
    <row r="30" spans="1:29" ht="12.7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</row>
    <row r="31" spans="1:29" ht="12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</row>
    <row r="32" spans="1:29" ht="12.7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</row>
    <row r="33" spans="1:29" ht="12.7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</row>
    <row r="34" spans="1:29" ht="12.7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</row>
    <row r="35" spans="1:29" ht="12.7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</row>
    <row r="36" spans="1:29" ht="12.7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</row>
    <row r="37" spans="1:29" ht="12.7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</row>
    <row r="38" spans="1:29" ht="12.7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</row>
    <row r="39" spans="1:29" ht="12.7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</row>
    <row r="40" spans="1:29" ht="12.7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</row>
    <row r="41" spans="1:29" ht="12.7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</row>
    <row r="42" spans="1:29" ht="12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</row>
    <row r="43" spans="1:29" ht="12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</row>
    <row r="44" spans="1:29" ht="12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</row>
    <row r="45" spans="1:29" ht="12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</row>
    <row r="46" spans="1:29" ht="12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</row>
    <row r="47" spans="1:29" ht="12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</row>
    <row r="48" spans="1:29" ht="12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</row>
    <row r="49" spans="1:29" ht="12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</row>
    <row r="50" spans="1:19" ht="12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</sheetData>
  <sheetProtection sheet="1" objects="1" scenarios="1" selectLockedCells="1"/>
  <mergeCells count="13">
    <mergeCell ref="C4:D4"/>
    <mergeCell ref="G4:I4"/>
    <mergeCell ref="G5:G6"/>
    <mergeCell ref="H5:H6"/>
    <mergeCell ref="I5:I6"/>
    <mergeCell ref="G9:G10"/>
    <mergeCell ref="H9:H10"/>
    <mergeCell ref="I9:I10"/>
    <mergeCell ref="E2:F3"/>
    <mergeCell ref="E4:F15"/>
    <mergeCell ref="G7:G8"/>
    <mergeCell ref="H7:H8"/>
    <mergeCell ref="I7:I8"/>
  </mergeCells>
  <printOptions/>
  <pageMargins left="0.75" right="0.75" top="1" bottom="1" header="0.5" footer="0.5"/>
  <pageSetup horizontalDpi="360" verticalDpi="36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1"/>
  <dimension ref="A1:BG124"/>
  <sheetViews>
    <sheetView workbookViewId="0" topLeftCell="A1">
      <selection activeCell="A2" sqref="A2:P2"/>
    </sheetView>
  </sheetViews>
  <sheetFormatPr defaultColWidth="9.33203125" defaultRowHeight="12.75"/>
  <cols>
    <col min="1" max="1" width="15.5" style="0" customWidth="1"/>
    <col min="2" max="10" width="4.83203125" style="0" customWidth="1"/>
    <col min="11" max="11" width="11.66015625" style="0" bestFit="1" customWidth="1"/>
    <col min="12" max="13" width="11.83203125" style="0" customWidth="1"/>
    <col min="14" max="14" width="4.83203125" style="0" customWidth="1"/>
    <col min="15" max="15" width="12.83203125" style="0" customWidth="1"/>
    <col min="16" max="16" width="9.16015625" style="0" customWidth="1"/>
    <col min="17" max="17" width="15.5" style="0" hidden="1" customWidth="1"/>
    <col min="18" max="26" width="4.83203125" style="0" hidden="1" customWidth="1"/>
    <col min="27" max="27" width="11.66015625" style="0" hidden="1" customWidth="1"/>
    <col min="28" max="29" width="11.83203125" style="0" hidden="1" customWidth="1"/>
    <col min="30" max="30" width="4.83203125" style="0" hidden="1" customWidth="1"/>
    <col min="31" max="31" width="12.83203125" style="0" hidden="1" customWidth="1"/>
    <col min="32" max="32" width="11" style="0" hidden="1" customWidth="1"/>
    <col min="33" max="33" width="5.16015625" style="0" hidden="1" customWidth="1"/>
    <col min="34" max="34" width="10.5" style="0" hidden="1" customWidth="1"/>
    <col min="35" max="35" width="15.16015625" style="0" hidden="1" customWidth="1"/>
    <col min="36" max="36" width="16.83203125" style="0" hidden="1" customWidth="1"/>
    <col min="37" max="37" width="6.66015625" style="0" hidden="1" customWidth="1"/>
    <col min="38" max="38" width="12.83203125" style="0" hidden="1" customWidth="1"/>
    <col min="39" max="39" width="11.5" style="0" hidden="1" customWidth="1"/>
    <col min="40" max="45" width="0" style="0" hidden="1" customWidth="1"/>
    <col min="46" max="46" width="3.66015625" style="0" customWidth="1"/>
    <col min="49" max="49" width="13.66015625" style="0" customWidth="1"/>
  </cols>
  <sheetData>
    <row r="1" spans="1:59" ht="16.5" thickTop="1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3"/>
      <c r="Q1" s="201" t="s">
        <v>0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3"/>
      <c r="AI1" s="185" t="s">
        <v>29</v>
      </c>
      <c r="AJ1" s="185"/>
      <c r="AK1" s="185"/>
      <c r="AL1" s="185"/>
      <c r="AM1" s="135" t="s">
        <v>68</v>
      </c>
      <c r="AT1" s="77"/>
      <c r="AU1" s="247" t="s">
        <v>84</v>
      </c>
      <c r="AV1" s="248"/>
      <c r="AW1" s="249"/>
      <c r="AX1" s="77"/>
      <c r="AY1" s="77"/>
      <c r="AZ1" s="77"/>
      <c r="BA1" s="77"/>
      <c r="BB1" s="77"/>
      <c r="BC1" s="77"/>
      <c r="BD1" s="77"/>
      <c r="BE1" s="77"/>
      <c r="BF1" s="77"/>
      <c r="BG1" s="77"/>
    </row>
    <row r="2" spans="1:59" ht="15.75">
      <c r="A2" s="204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  <c r="Q2" s="204" t="s">
        <v>1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6"/>
      <c r="AI2" s="5" t="s">
        <v>30</v>
      </c>
      <c r="AJ2" s="5" t="s">
        <v>31</v>
      </c>
      <c r="AK2" s="6" t="s">
        <v>18</v>
      </c>
      <c r="AL2" s="5" t="s">
        <v>37</v>
      </c>
      <c r="AN2" s="134"/>
      <c r="AT2" s="77"/>
      <c r="AU2" s="250"/>
      <c r="AV2" s="251"/>
      <c r="AW2" s="252"/>
      <c r="AX2" s="77"/>
      <c r="AY2" s="77"/>
      <c r="AZ2" s="77"/>
      <c r="BA2" s="77"/>
      <c r="BB2" s="77"/>
      <c r="BC2" s="77"/>
      <c r="BD2" s="77"/>
      <c r="BE2" s="77"/>
      <c r="BF2" s="77"/>
      <c r="BG2" s="77"/>
    </row>
    <row r="3" spans="1:59" ht="15.75">
      <c r="A3" s="207" t="s">
        <v>110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9"/>
      <c r="Q3" s="207" t="s">
        <v>85</v>
      </c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9"/>
      <c r="AI3" s="7">
        <v>1</v>
      </c>
      <c r="AJ3" s="7">
        <f>+Aliquote!C6</f>
        <v>15000</v>
      </c>
      <c r="AK3" s="8">
        <f>+Aliquote!D6</f>
        <v>0.23</v>
      </c>
      <c r="AL3" s="9"/>
      <c r="AT3" s="77"/>
      <c r="AU3" s="268"/>
      <c r="AV3" s="269"/>
      <c r="AW3" s="270"/>
      <c r="AX3" s="77"/>
      <c r="AY3" s="77"/>
      <c r="AZ3" s="77"/>
      <c r="BA3" s="77"/>
      <c r="BB3" s="77"/>
      <c r="BC3" s="77"/>
      <c r="BD3" s="77"/>
      <c r="BE3" s="77"/>
      <c r="BF3" s="77"/>
      <c r="BG3" s="77"/>
    </row>
    <row r="4" spans="1:59" ht="12.75" customHeight="1">
      <c r="A4" s="150" t="s">
        <v>138</v>
      </c>
      <c r="B4" s="214"/>
      <c r="C4" s="215"/>
      <c r="D4" s="215"/>
      <c r="E4" s="215"/>
      <c r="F4" s="215"/>
      <c r="G4" s="216"/>
      <c r="H4" s="58"/>
      <c r="I4" s="58"/>
      <c r="J4" s="345" t="s">
        <v>118</v>
      </c>
      <c r="K4" s="346"/>
      <c r="L4" s="2">
        <v>2007</v>
      </c>
      <c r="M4" s="20"/>
      <c r="N4" s="58"/>
      <c r="O4" s="58"/>
      <c r="P4" s="33"/>
      <c r="Q4" s="20"/>
      <c r="R4" s="58"/>
      <c r="S4" s="58"/>
      <c r="T4" s="58"/>
      <c r="U4" s="58"/>
      <c r="V4" s="58"/>
      <c r="W4" s="58"/>
      <c r="X4" s="58"/>
      <c r="Y4" s="58"/>
      <c r="Z4" s="213" t="s">
        <v>2</v>
      </c>
      <c r="AA4" s="213"/>
      <c r="AB4" s="2">
        <v>2007</v>
      </c>
      <c r="AC4" s="20"/>
      <c r="AD4" s="58"/>
      <c r="AE4" s="58"/>
      <c r="AF4" s="33"/>
      <c r="AI4" s="7">
        <f>+AJ3+0.01</f>
        <v>15000.01</v>
      </c>
      <c r="AJ4" s="7">
        <f>+Aliquote!C7</f>
        <v>28000</v>
      </c>
      <c r="AK4" s="8">
        <f>+Aliquote!D7</f>
        <v>0.27</v>
      </c>
      <c r="AL4" s="7">
        <f>ROUND(AI4*AK3,2)</f>
        <v>3450</v>
      </c>
      <c r="AT4" s="77"/>
      <c r="AU4" s="262" t="s">
        <v>81</v>
      </c>
      <c r="AV4" s="263"/>
      <c r="AW4" s="264"/>
      <c r="AX4" s="77"/>
      <c r="AY4" s="77"/>
      <c r="AZ4" s="77"/>
      <c r="BA4" s="77"/>
      <c r="BB4" s="77"/>
      <c r="BC4" s="77"/>
      <c r="BD4" s="77"/>
      <c r="BE4" s="77"/>
      <c r="BF4" s="77"/>
      <c r="BG4" s="77"/>
    </row>
    <row r="5" spans="1:59" ht="16.5" thickBot="1">
      <c r="A5" s="59" t="s">
        <v>3</v>
      </c>
      <c r="B5" s="60"/>
      <c r="C5" s="2" t="s">
        <v>4</v>
      </c>
      <c r="D5" s="210"/>
      <c r="E5" s="211"/>
      <c r="F5" s="211"/>
      <c r="G5" s="211"/>
      <c r="H5" s="211"/>
      <c r="I5" s="211"/>
      <c r="J5" s="211"/>
      <c r="K5" s="211"/>
      <c r="L5" s="212"/>
      <c r="M5" s="61" t="s">
        <v>5</v>
      </c>
      <c r="N5" s="214"/>
      <c r="O5" s="215"/>
      <c r="P5" s="216"/>
      <c r="Q5" s="59" t="s">
        <v>3</v>
      </c>
      <c r="R5" s="60"/>
      <c r="S5" s="2" t="s">
        <v>4</v>
      </c>
      <c r="T5" s="211"/>
      <c r="U5" s="211"/>
      <c r="V5" s="211"/>
      <c r="W5" s="211"/>
      <c r="X5" s="211"/>
      <c r="Y5" s="211"/>
      <c r="Z5" s="211"/>
      <c r="AA5" s="211"/>
      <c r="AB5" s="313"/>
      <c r="AC5" s="61" t="s">
        <v>5</v>
      </c>
      <c r="AD5" s="214"/>
      <c r="AE5" s="215"/>
      <c r="AF5" s="216"/>
      <c r="AH5" s="21"/>
      <c r="AI5" s="7">
        <f>+AJ4+0.01</f>
        <v>28000.01</v>
      </c>
      <c r="AJ5" s="7">
        <f>+Aliquote!C8</f>
        <v>55000</v>
      </c>
      <c r="AK5" s="8">
        <f>+Aliquote!D8</f>
        <v>0.38</v>
      </c>
      <c r="AL5" s="7">
        <f>ROUND((AI5-AI4)*AK4,2)+AL4</f>
        <v>6960</v>
      </c>
      <c r="AT5" s="77"/>
      <c r="AU5" s="265" t="s">
        <v>82</v>
      </c>
      <c r="AV5" s="266"/>
      <c r="AW5" s="267"/>
      <c r="AX5" s="77"/>
      <c r="AY5" s="77"/>
      <c r="AZ5" s="77"/>
      <c r="BA5" s="77"/>
      <c r="BB5" s="77"/>
      <c r="BC5" s="77"/>
      <c r="BD5" s="77"/>
      <c r="BE5" s="77"/>
      <c r="BF5" s="77"/>
      <c r="BG5" s="77"/>
    </row>
    <row r="6" spans="1:59" ht="12.75" customHeight="1" thickTop="1">
      <c r="A6" s="271" t="s">
        <v>6</v>
      </c>
      <c r="B6" s="272"/>
      <c r="C6" s="214"/>
      <c r="D6" s="276"/>
      <c r="E6" s="276"/>
      <c r="F6" s="276"/>
      <c r="G6" s="277"/>
      <c r="H6" s="60" t="s">
        <v>7</v>
      </c>
      <c r="I6" s="278"/>
      <c r="J6" s="279"/>
      <c r="K6" s="280"/>
      <c r="L6" s="48" t="s">
        <v>90</v>
      </c>
      <c r="M6" s="217"/>
      <c r="N6" s="218"/>
      <c r="O6" s="218"/>
      <c r="P6" s="183"/>
      <c r="Q6" s="317"/>
      <c r="R6" s="318"/>
      <c r="S6" s="318"/>
      <c r="T6" s="302" t="s">
        <v>6</v>
      </c>
      <c r="U6" s="302"/>
      <c r="V6" s="214"/>
      <c r="W6" s="215"/>
      <c r="X6" s="215"/>
      <c r="Y6" s="215"/>
      <c r="Z6" s="216"/>
      <c r="AA6" s="60" t="s">
        <v>7</v>
      </c>
      <c r="AB6" s="300"/>
      <c r="AC6" s="301"/>
      <c r="AD6" s="20"/>
      <c r="AE6" s="20"/>
      <c r="AF6" s="62"/>
      <c r="AH6" s="21"/>
      <c r="AI6" s="7">
        <f>+AJ5+0.01</f>
        <v>55000.01</v>
      </c>
      <c r="AJ6" s="7">
        <f>+Aliquote!C9</f>
        <v>75000</v>
      </c>
      <c r="AK6" s="8">
        <f>+Aliquote!D9</f>
        <v>0.41</v>
      </c>
      <c r="AL6" s="7">
        <f>ROUND((AI6-AI5)*AK5,2)+AL5</f>
        <v>17220</v>
      </c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</row>
    <row r="7" spans="1:59" ht="12.75" customHeight="1">
      <c r="A7" s="239" t="s">
        <v>8</v>
      </c>
      <c r="B7" s="240"/>
      <c r="C7" s="240"/>
      <c r="D7" s="240"/>
      <c r="E7" s="240"/>
      <c r="F7" s="240"/>
      <c r="G7" s="240"/>
      <c r="H7" s="158" t="s">
        <v>9</v>
      </c>
      <c r="I7" s="158"/>
      <c r="J7" s="158"/>
      <c r="K7" s="158"/>
      <c r="L7" s="158"/>
      <c r="M7" s="20"/>
      <c r="N7" s="20"/>
      <c r="O7" s="20"/>
      <c r="P7" s="62"/>
      <c r="Q7" s="239" t="s">
        <v>8</v>
      </c>
      <c r="R7" s="240"/>
      <c r="S7" s="240"/>
      <c r="T7" s="240"/>
      <c r="U7" s="240"/>
      <c r="V7" s="240"/>
      <c r="W7" s="240"/>
      <c r="X7" s="158" t="s">
        <v>9</v>
      </c>
      <c r="Y7" s="158"/>
      <c r="Z7" s="158"/>
      <c r="AA7" s="158"/>
      <c r="AB7" s="158"/>
      <c r="AC7" s="20"/>
      <c r="AD7" s="20"/>
      <c r="AE7" s="20"/>
      <c r="AF7" s="62"/>
      <c r="AH7" s="21"/>
      <c r="AI7" s="7">
        <f>+AJ6+0.01</f>
        <v>75000.01</v>
      </c>
      <c r="AJ7" s="7">
        <v>1000000</v>
      </c>
      <c r="AK7" s="8">
        <f>+Aliquote!D10</f>
        <v>0.43</v>
      </c>
      <c r="AL7" s="7">
        <f>ROUND((AI7-AI6)*AK6,2)+AL6</f>
        <v>25420</v>
      </c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</row>
    <row r="8" spans="1:59" ht="12.75">
      <c r="A8" s="27" t="s">
        <v>78</v>
      </c>
      <c r="B8" s="29"/>
      <c r="C8" s="29"/>
      <c r="D8" s="23"/>
      <c r="E8" s="195"/>
      <c r="F8" s="196"/>
      <c r="G8" s="197"/>
      <c r="H8" s="273" t="s">
        <v>10</v>
      </c>
      <c r="I8" s="274"/>
      <c r="J8" s="274"/>
      <c r="K8" s="275"/>
      <c r="L8" s="1"/>
      <c r="M8" s="20"/>
      <c r="N8" s="20"/>
      <c r="O8" s="20"/>
      <c r="P8" s="62"/>
      <c r="Q8" s="27" t="s">
        <v>78</v>
      </c>
      <c r="R8" s="29"/>
      <c r="S8" s="29"/>
      <c r="T8" s="23"/>
      <c r="U8" s="195">
        <f aca="true" t="shared" si="0" ref="U8:U15">ROUND(E8*13,5)</f>
        <v>0</v>
      </c>
      <c r="V8" s="196"/>
      <c r="W8" s="197"/>
      <c r="X8" s="273" t="s">
        <v>10</v>
      </c>
      <c r="Y8" s="274"/>
      <c r="Z8" s="274"/>
      <c r="AA8" s="275"/>
      <c r="AB8" s="1">
        <f aca="true" t="shared" si="1" ref="AB8:AB17">ROUND(L8*13,5)</f>
        <v>0</v>
      </c>
      <c r="AC8" s="20"/>
      <c r="AD8" s="20"/>
      <c r="AE8" s="20"/>
      <c r="AF8" s="62"/>
      <c r="AH8" s="21"/>
      <c r="AI8" s="7">
        <f>+AJ7+0.01</f>
        <v>1000000.01</v>
      </c>
      <c r="AJ8" s="10">
        <v>2000000</v>
      </c>
      <c r="AK8" s="11">
        <f>+AK7</f>
        <v>0.43</v>
      </c>
      <c r="AL8" s="10">
        <f>ROUND((AI8-AI7)*AK7,2)+AL7</f>
        <v>423170</v>
      </c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</row>
    <row r="9" spans="1:59" ht="12.75">
      <c r="A9" s="27" t="s">
        <v>11</v>
      </c>
      <c r="B9" s="29"/>
      <c r="C9" s="29"/>
      <c r="D9" s="23"/>
      <c r="E9" s="195"/>
      <c r="F9" s="196"/>
      <c r="G9" s="197"/>
      <c r="H9" s="198" t="s">
        <v>111</v>
      </c>
      <c r="I9" s="199"/>
      <c r="J9" s="199"/>
      <c r="K9" s="200"/>
      <c r="L9" s="1"/>
      <c r="M9" s="20"/>
      <c r="N9" s="20"/>
      <c r="O9" s="20"/>
      <c r="P9" s="62"/>
      <c r="Q9" s="27" t="s">
        <v>11</v>
      </c>
      <c r="R9" s="29"/>
      <c r="S9" s="29"/>
      <c r="T9" s="23"/>
      <c r="U9" s="195">
        <f t="shared" si="0"/>
        <v>0</v>
      </c>
      <c r="V9" s="196"/>
      <c r="W9" s="197"/>
      <c r="X9" s="198" t="s">
        <v>111</v>
      </c>
      <c r="Y9" s="199"/>
      <c r="Z9" s="199"/>
      <c r="AA9" s="200"/>
      <c r="AB9" s="1">
        <f t="shared" si="1"/>
        <v>0</v>
      </c>
      <c r="AC9" s="20"/>
      <c r="AD9" s="20"/>
      <c r="AE9" s="25" t="s">
        <v>117</v>
      </c>
      <c r="AF9" s="62"/>
      <c r="AH9" s="22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</row>
    <row r="10" spans="1:59" ht="12.75">
      <c r="A10" s="27" t="s">
        <v>12</v>
      </c>
      <c r="B10" s="29"/>
      <c r="C10" s="29"/>
      <c r="D10" s="23"/>
      <c r="E10" s="195"/>
      <c r="F10" s="196"/>
      <c r="G10" s="197"/>
      <c r="H10" s="198" t="s">
        <v>112</v>
      </c>
      <c r="I10" s="199"/>
      <c r="J10" s="199"/>
      <c r="K10" s="200"/>
      <c r="L10" s="1"/>
      <c r="M10" s="20"/>
      <c r="N10" s="20"/>
      <c r="O10" s="20"/>
      <c r="P10" s="62"/>
      <c r="Q10" s="27" t="s">
        <v>12</v>
      </c>
      <c r="R10" s="29"/>
      <c r="S10" s="29"/>
      <c r="T10" s="23"/>
      <c r="U10" s="195">
        <f t="shared" si="0"/>
        <v>0</v>
      </c>
      <c r="V10" s="196"/>
      <c r="W10" s="197"/>
      <c r="X10" s="198" t="s">
        <v>112</v>
      </c>
      <c r="Y10" s="199"/>
      <c r="Z10" s="199"/>
      <c r="AA10" s="200"/>
      <c r="AB10" s="1">
        <f t="shared" si="1"/>
        <v>0</v>
      </c>
      <c r="AC10" s="20"/>
      <c r="AD10" s="20"/>
      <c r="AE10" s="145">
        <f>+Lordo-U12</f>
        <v>0</v>
      </c>
      <c r="AF10" s="62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</row>
    <row r="11" spans="1:59" ht="12.75">
      <c r="A11" s="27" t="s">
        <v>14</v>
      </c>
      <c r="B11" s="29"/>
      <c r="C11" s="29"/>
      <c r="D11" s="29"/>
      <c r="E11" s="195"/>
      <c r="F11" s="196"/>
      <c r="G11" s="197"/>
      <c r="H11" s="198" t="s">
        <v>113</v>
      </c>
      <c r="I11" s="199"/>
      <c r="J11" s="199"/>
      <c r="K11" s="200"/>
      <c r="L11" s="143">
        <f>ROUND((E10+E11)*(Aliquote!H9),2)</f>
        <v>0</v>
      </c>
      <c r="M11" s="20"/>
      <c r="N11" s="20"/>
      <c r="O11" s="20"/>
      <c r="P11" s="62"/>
      <c r="Q11" s="27" t="s">
        <v>14</v>
      </c>
      <c r="R11" s="29"/>
      <c r="S11" s="29"/>
      <c r="T11" s="29"/>
      <c r="U11" s="195">
        <f t="shared" si="0"/>
        <v>0</v>
      </c>
      <c r="V11" s="196"/>
      <c r="W11" s="197"/>
      <c r="X11" s="198" t="s">
        <v>113</v>
      </c>
      <c r="Y11" s="199"/>
      <c r="Z11" s="199"/>
      <c r="AA11" s="200"/>
      <c r="AB11" s="143">
        <f t="shared" si="1"/>
        <v>0</v>
      </c>
      <c r="AC11" s="20"/>
      <c r="AD11" s="20"/>
      <c r="AE11" s="20"/>
      <c r="AF11" s="62"/>
      <c r="AH11" s="85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</row>
    <row r="12" spans="1:59" ht="12.75">
      <c r="A12" s="27"/>
      <c r="B12" s="29"/>
      <c r="C12" s="29"/>
      <c r="D12" s="23"/>
      <c r="E12" s="404"/>
      <c r="F12" s="405"/>
      <c r="G12" s="406"/>
      <c r="H12" s="198" t="s">
        <v>114</v>
      </c>
      <c r="I12" s="199"/>
      <c r="J12" s="199"/>
      <c r="K12" s="200"/>
      <c r="L12" s="144">
        <f>ROUND((E10+E11)*(Aliquote!I9),2)</f>
        <v>0</v>
      </c>
      <c r="M12" s="20"/>
      <c r="N12" s="20"/>
      <c r="O12" s="20"/>
      <c r="P12" s="62"/>
      <c r="Q12" s="27" t="s">
        <v>16</v>
      </c>
      <c r="R12" s="29"/>
      <c r="S12" s="29"/>
      <c r="T12" s="23"/>
      <c r="U12" s="195">
        <f t="shared" si="0"/>
        <v>0</v>
      </c>
      <c r="V12" s="196"/>
      <c r="W12" s="197"/>
      <c r="X12" s="198" t="s">
        <v>114</v>
      </c>
      <c r="Y12" s="199"/>
      <c r="Z12" s="199"/>
      <c r="AA12" s="200"/>
      <c r="AB12" s="143">
        <f t="shared" si="1"/>
        <v>0</v>
      </c>
      <c r="AC12" s="91"/>
      <c r="AD12" s="20"/>
      <c r="AE12" s="20"/>
      <c r="AF12" s="62"/>
      <c r="AH12" s="85"/>
      <c r="AI12" s="186" t="s">
        <v>32</v>
      </c>
      <c r="AJ12" s="186"/>
      <c r="AK12" s="186"/>
      <c r="AL12" s="186"/>
      <c r="AM12" s="186"/>
      <c r="AN12" t="s">
        <v>44</v>
      </c>
      <c r="AO12" t="s">
        <v>43</v>
      </c>
      <c r="AT12" s="77"/>
      <c r="AU12" s="78"/>
      <c r="AV12" s="78"/>
      <c r="AW12" s="78"/>
      <c r="AX12" s="77"/>
      <c r="AY12" s="77"/>
      <c r="AZ12" s="77"/>
      <c r="BA12" s="77"/>
      <c r="BB12" s="77"/>
      <c r="BC12" s="77"/>
      <c r="BD12" s="77"/>
      <c r="BE12" s="77"/>
      <c r="BF12" s="77"/>
      <c r="BG12" s="77"/>
    </row>
    <row r="13" spans="1:59" ht="12.75">
      <c r="A13" s="27" t="s">
        <v>17</v>
      </c>
      <c r="B13" s="29"/>
      <c r="C13" s="29"/>
      <c r="D13" s="23"/>
      <c r="E13" s="195"/>
      <c r="F13" s="196"/>
      <c r="G13" s="197"/>
      <c r="H13" s="198"/>
      <c r="I13" s="199"/>
      <c r="J13" s="199"/>
      <c r="K13" s="200"/>
      <c r="L13" s="143"/>
      <c r="M13" s="20"/>
      <c r="N13" s="20"/>
      <c r="O13" s="20"/>
      <c r="P13" s="62"/>
      <c r="Q13" s="27" t="s">
        <v>17</v>
      </c>
      <c r="R13" s="29"/>
      <c r="S13" s="29"/>
      <c r="T13" s="23"/>
      <c r="U13" s="195">
        <f t="shared" si="0"/>
        <v>0</v>
      </c>
      <c r="V13" s="196"/>
      <c r="W13" s="197"/>
      <c r="X13" s="198" t="s">
        <v>115</v>
      </c>
      <c r="Y13" s="199"/>
      <c r="Z13" s="199"/>
      <c r="AA13" s="200"/>
      <c r="AB13" s="143">
        <f t="shared" si="1"/>
        <v>0</v>
      </c>
      <c r="AC13" s="20"/>
      <c r="AD13" s="20"/>
      <c r="AE13" s="91"/>
      <c r="AF13" s="62"/>
      <c r="AH13" s="85"/>
      <c r="AI13" s="4" t="s">
        <v>33</v>
      </c>
      <c r="AJ13" s="107">
        <v>80000</v>
      </c>
      <c r="AK13" s="4"/>
      <c r="AL13" s="107">
        <v>800</v>
      </c>
      <c r="AM13" s="107">
        <v>690</v>
      </c>
      <c r="AN13" s="87">
        <v>110</v>
      </c>
      <c r="AO13" s="87">
        <f>ROUND(Redd_Detraz/AJ19,4)</f>
        <v>0</v>
      </c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</row>
    <row r="14" spans="1:59" ht="12.75">
      <c r="A14" s="192" t="s">
        <v>108</v>
      </c>
      <c r="B14" s="193"/>
      <c r="C14" s="193"/>
      <c r="D14" s="194"/>
      <c r="E14" s="195"/>
      <c r="F14" s="196"/>
      <c r="G14" s="197"/>
      <c r="H14" s="198" t="s">
        <v>116</v>
      </c>
      <c r="I14" s="199"/>
      <c r="J14" s="199"/>
      <c r="K14" s="200"/>
      <c r="L14" s="143">
        <f>ROUND(E13*80%*(Aliquote!$G$9)+E13*(Aliquote!$H$9+Aliquote!$I$9),5)</f>
        <v>0</v>
      </c>
      <c r="M14" s="20"/>
      <c r="N14" s="20"/>
      <c r="O14" s="20"/>
      <c r="P14" s="62"/>
      <c r="Q14" s="26" t="s">
        <v>13</v>
      </c>
      <c r="R14" s="30"/>
      <c r="S14" s="30"/>
      <c r="T14" s="24"/>
      <c r="U14" s="195">
        <f t="shared" si="0"/>
        <v>0</v>
      </c>
      <c r="V14" s="196"/>
      <c r="W14" s="197"/>
      <c r="X14" s="198" t="s">
        <v>116</v>
      </c>
      <c r="Y14" s="199"/>
      <c r="Z14" s="199"/>
      <c r="AA14" s="200"/>
      <c r="AB14" s="143">
        <f t="shared" si="1"/>
        <v>0</v>
      </c>
      <c r="AC14" s="20"/>
      <c r="AD14" s="20"/>
      <c r="AE14" s="20"/>
      <c r="AF14" s="62"/>
      <c r="AH14" s="85"/>
      <c r="AI14" s="4" t="s">
        <v>34</v>
      </c>
      <c r="AJ14" s="107">
        <v>95000</v>
      </c>
      <c r="AK14" s="4"/>
      <c r="AL14" s="107">
        <v>800</v>
      </c>
      <c r="AO14" s="77">
        <f>ROUND((Coniuge-Redd_Detraz)/AJ38,4)</f>
        <v>2</v>
      </c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</row>
    <row r="15" spans="1:59" ht="12.75">
      <c r="A15" s="192" t="s">
        <v>109</v>
      </c>
      <c r="B15" s="193"/>
      <c r="C15" s="193"/>
      <c r="D15" s="194"/>
      <c r="E15" s="195"/>
      <c r="F15" s="196"/>
      <c r="G15" s="197"/>
      <c r="H15" s="192" t="s">
        <v>149</v>
      </c>
      <c r="I15" s="193"/>
      <c r="J15" s="193"/>
      <c r="K15" s="194"/>
      <c r="L15" s="143">
        <f>ROUND(E14*80%*(Aliquote!$G$9)+E14*(Aliquote!$H$9+Aliquote!$I$9),5)</f>
        <v>0</v>
      </c>
      <c r="M15" s="20"/>
      <c r="N15" s="20"/>
      <c r="O15" s="20"/>
      <c r="P15" s="62"/>
      <c r="Q15" s="26" t="s">
        <v>13</v>
      </c>
      <c r="R15" s="30"/>
      <c r="S15" s="30"/>
      <c r="T15" s="24"/>
      <c r="U15" s="195">
        <f t="shared" si="0"/>
        <v>0</v>
      </c>
      <c r="V15" s="196"/>
      <c r="W15" s="197"/>
      <c r="X15" s="192" t="s">
        <v>13</v>
      </c>
      <c r="Y15" s="193"/>
      <c r="Z15" s="193"/>
      <c r="AA15" s="194"/>
      <c r="AB15" s="143">
        <f t="shared" si="1"/>
        <v>0</v>
      </c>
      <c r="AC15" s="20"/>
      <c r="AD15" s="20"/>
      <c r="AE15" s="25" t="s">
        <v>93</v>
      </c>
      <c r="AF15" s="62"/>
      <c r="AH15" s="85"/>
      <c r="AI15" s="4" t="s">
        <v>35</v>
      </c>
      <c r="AJ15" s="107">
        <v>55000</v>
      </c>
      <c r="AK15" s="4"/>
      <c r="AL15" s="107">
        <v>1338</v>
      </c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</row>
    <row r="16" spans="1:59" ht="12.75">
      <c r="A16" s="192" t="s">
        <v>148</v>
      </c>
      <c r="B16" s="193"/>
      <c r="C16" s="193"/>
      <c r="D16" s="194"/>
      <c r="E16" s="195"/>
      <c r="F16" s="196"/>
      <c r="G16" s="197"/>
      <c r="H16" s="192" t="s">
        <v>150</v>
      </c>
      <c r="I16" s="193"/>
      <c r="J16" s="193"/>
      <c r="K16" s="194"/>
      <c r="L16" s="144">
        <f>ROUND(E15*(Aliquote!$H$9+Aliquote!$I$9),5)</f>
        <v>0</v>
      </c>
      <c r="M16" s="20"/>
      <c r="N16" s="20"/>
      <c r="O16" s="20"/>
      <c r="P16" s="62"/>
      <c r="Q16" s="192" t="s">
        <v>57</v>
      </c>
      <c r="R16" s="193"/>
      <c r="S16" s="193"/>
      <c r="T16" s="194"/>
      <c r="U16" s="195"/>
      <c r="V16" s="196"/>
      <c r="W16" s="197"/>
      <c r="X16" s="192" t="s">
        <v>13</v>
      </c>
      <c r="Y16" s="193"/>
      <c r="Z16" s="193"/>
      <c r="AA16" s="194"/>
      <c r="AB16" s="143">
        <f t="shared" si="1"/>
        <v>0</v>
      </c>
      <c r="AC16" s="298"/>
      <c r="AD16" s="299"/>
      <c r="AE16" s="146">
        <f>IF(O46&gt;E12,ROUND((O46-E12)*12,2),0)</f>
        <v>0</v>
      </c>
      <c r="AF16" s="62"/>
      <c r="AH16" s="85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</row>
    <row r="17" spans="1:59" ht="12.75">
      <c r="A17" s="163" t="s">
        <v>15</v>
      </c>
      <c r="B17" s="154"/>
      <c r="C17" s="154"/>
      <c r="D17" s="164"/>
      <c r="E17" s="175">
        <f>SUM(E8:G16)</f>
        <v>0</v>
      </c>
      <c r="F17" s="219"/>
      <c r="G17" s="176"/>
      <c r="H17" s="192" t="s">
        <v>148</v>
      </c>
      <c r="I17" s="193"/>
      <c r="J17" s="193"/>
      <c r="K17" s="194"/>
      <c r="L17" s="189"/>
      <c r="M17" s="20"/>
      <c r="N17" s="20"/>
      <c r="O17" s="20"/>
      <c r="P17" s="62"/>
      <c r="Q17" s="31" t="s">
        <v>15</v>
      </c>
      <c r="R17" s="28"/>
      <c r="S17" s="28"/>
      <c r="T17" s="32"/>
      <c r="U17" s="175">
        <f>SUM(U8:W16)</f>
        <v>0</v>
      </c>
      <c r="V17" s="219"/>
      <c r="W17" s="176"/>
      <c r="X17" s="192" t="s">
        <v>57</v>
      </c>
      <c r="Y17" s="193"/>
      <c r="Z17" s="193"/>
      <c r="AA17" s="194"/>
      <c r="AB17" s="143">
        <f t="shared" si="1"/>
        <v>0</v>
      </c>
      <c r="AC17" s="160"/>
      <c r="AD17" s="160"/>
      <c r="AE17" s="147"/>
      <c r="AF17" s="62"/>
      <c r="AH17" s="85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</row>
    <row r="18" spans="1:59" ht="13.5" thickBot="1">
      <c r="A18" s="57"/>
      <c r="B18" s="20"/>
      <c r="C18" s="20"/>
      <c r="D18" s="20"/>
      <c r="E18" s="20"/>
      <c r="F18" s="20"/>
      <c r="G18" s="20"/>
      <c r="H18" s="163" t="s">
        <v>15</v>
      </c>
      <c r="I18" s="154"/>
      <c r="J18" s="154"/>
      <c r="K18" s="164"/>
      <c r="L18" s="3">
        <f>SUM(L8:L17)</f>
        <v>0</v>
      </c>
      <c r="M18" s="20"/>
      <c r="N18" s="20"/>
      <c r="O18" s="20"/>
      <c r="P18" s="62"/>
      <c r="Q18" s="57"/>
      <c r="R18" s="20"/>
      <c r="S18" s="20"/>
      <c r="T18" s="20"/>
      <c r="U18" s="20"/>
      <c r="V18" s="20"/>
      <c r="W18" s="20"/>
      <c r="X18" s="31" t="s">
        <v>15</v>
      </c>
      <c r="Y18" s="28"/>
      <c r="Z18" s="28"/>
      <c r="AA18" s="32"/>
      <c r="AB18" s="3">
        <f>SUM(AB8:AB17)</f>
        <v>0</v>
      </c>
      <c r="AC18" s="136"/>
      <c r="AD18" s="136" t="s">
        <v>139</v>
      </c>
      <c r="AE18" s="147"/>
      <c r="AF18" s="151">
        <f>ROUND(E12*12,5)</f>
        <v>0</v>
      </c>
      <c r="AH18" s="85"/>
      <c r="AI18" s="4" t="s">
        <v>38</v>
      </c>
      <c r="AJ18" s="110" t="s">
        <v>39</v>
      </c>
      <c r="AK18" s="77"/>
      <c r="AL18" s="111" t="s">
        <v>45</v>
      </c>
      <c r="AM18" s="111" t="s">
        <v>40</v>
      </c>
      <c r="AO18">
        <f>IF(AP18&gt;0,1,0)</f>
        <v>0</v>
      </c>
      <c r="AP18" s="87"/>
      <c r="AQ18" s="87">
        <v>700</v>
      </c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</row>
    <row r="19" spans="1:59" ht="13.5" customHeight="1" hidden="1" thickBot="1">
      <c r="A19" s="79"/>
      <c r="B19" s="25"/>
      <c r="C19" s="25"/>
      <c r="D19" s="25"/>
      <c r="E19" s="25"/>
      <c r="F19" s="25"/>
      <c r="G19" s="25"/>
      <c r="H19" s="20"/>
      <c r="I19" s="20"/>
      <c r="J19" s="20"/>
      <c r="K19" s="20"/>
      <c r="L19" s="20"/>
      <c r="M19" s="20"/>
      <c r="N19" s="20"/>
      <c r="O19" s="20"/>
      <c r="P19" s="62"/>
      <c r="Q19" s="79"/>
      <c r="R19" s="25"/>
      <c r="S19" s="25"/>
      <c r="T19" s="25"/>
      <c r="U19" s="25"/>
      <c r="V19" s="25"/>
      <c r="W19" s="25"/>
      <c r="X19" s="20"/>
      <c r="Y19" s="20"/>
      <c r="Z19" s="20"/>
      <c r="AA19" s="20"/>
      <c r="AB19" s="20"/>
      <c r="AC19" s="136"/>
      <c r="AD19" s="20"/>
      <c r="AE19" s="148"/>
      <c r="AF19" s="62"/>
      <c r="AI19" s="315" t="s">
        <v>33</v>
      </c>
      <c r="AJ19" s="316">
        <v>15000</v>
      </c>
      <c r="AK19" s="77"/>
      <c r="AL19" s="118">
        <v>0</v>
      </c>
      <c r="AM19" s="127">
        <v>0</v>
      </c>
      <c r="AO19">
        <f>IF(AP19&gt;0,1,0)</f>
        <v>0</v>
      </c>
      <c r="AP19" s="87"/>
      <c r="AQ19" s="87">
        <v>500</v>
      </c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</row>
    <row r="20" spans="1:59" ht="15.75">
      <c r="A20" s="241" t="s">
        <v>66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3"/>
      <c r="Q20" s="241" t="s">
        <v>66</v>
      </c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3"/>
      <c r="AI20" s="315"/>
      <c r="AJ20" s="316"/>
      <c r="AK20" s="77"/>
      <c r="AL20" s="128"/>
      <c r="AM20" s="129"/>
      <c r="AP20" s="87"/>
      <c r="AQ20" s="8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</row>
    <row r="21" spans="1:59" ht="12.75">
      <c r="A21" s="289" t="s">
        <v>33</v>
      </c>
      <c r="B21" s="289"/>
      <c r="C21" s="289"/>
      <c r="D21" s="2"/>
      <c r="E21" s="25"/>
      <c r="F21" s="63"/>
      <c r="G21" s="63"/>
      <c r="H21" s="63"/>
      <c r="I21" s="45"/>
      <c r="J21" s="20"/>
      <c r="K21" s="20"/>
      <c r="L21" s="20"/>
      <c r="M21" s="20"/>
      <c r="N21" s="20"/>
      <c r="O21" s="20"/>
      <c r="P21" s="62"/>
      <c r="Q21" s="289" t="s">
        <v>33</v>
      </c>
      <c r="R21" s="289"/>
      <c r="S21" s="289"/>
      <c r="T21" s="2">
        <f>+D21</f>
        <v>0</v>
      </c>
      <c r="U21" s="25"/>
      <c r="V21" s="63" t="str">
        <f>IF(CNG="Si","Mesi a carico",Vuota1)</f>
        <v>        </v>
      </c>
      <c r="W21" s="63"/>
      <c r="X21" s="63"/>
      <c r="Y21" s="45">
        <v>12</v>
      </c>
      <c r="Z21" s="20"/>
      <c r="AA21" s="20"/>
      <c r="AB21" s="20"/>
      <c r="AC21" s="20"/>
      <c r="AD21" s="20"/>
      <c r="AE21" s="20"/>
      <c r="AF21" s="62"/>
      <c r="AI21" s="315"/>
      <c r="AJ21" s="316"/>
      <c r="AK21" s="77"/>
      <c r="AL21" s="128"/>
      <c r="AM21" s="129"/>
      <c r="AP21" s="87"/>
      <c r="AQ21" s="87"/>
      <c r="AT21" s="77"/>
      <c r="AU21" s="303" t="s">
        <v>83</v>
      </c>
      <c r="AV21" s="304"/>
      <c r="AW21" s="305"/>
      <c r="AX21" s="77"/>
      <c r="AY21" s="77"/>
      <c r="AZ21" s="77"/>
      <c r="BA21" s="77"/>
      <c r="BB21" s="77"/>
      <c r="BC21" s="77"/>
      <c r="BD21" s="77"/>
      <c r="BE21" s="77"/>
      <c r="BF21" s="77"/>
      <c r="BG21" s="77"/>
    </row>
    <row r="22" spans="1:59" ht="12.75">
      <c r="A22" s="64"/>
      <c r="B22" s="63"/>
      <c r="C22" s="48"/>
      <c r="D22" s="20"/>
      <c r="E22" s="25"/>
      <c r="F22" s="63"/>
      <c r="G22" s="63"/>
      <c r="H22" s="63"/>
      <c r="I22" s="20"/>
      <c r="J22" s="20"/>
      <c r="K22" s="20"/>
      <c r="L22" s="20"/>
      <c r="M22" s="20"/>
      <c r="N22" s="20"/>
      <c r="O22" s="20"/>
      <c r="P22" s="62"/>
      <c r="Q22" s="64"/>
      <c r="R22" s="63"/>
      <c r="S22" s="48"/>
      <c r="T22" s="20"/>
      <c r="U22" s="25"/>
      <c r="V22" s="63"/>
      <c r="W22" s="63"/>
      <c r="X22" s="63"/>
      <c r="Y22" s="20"/>
      <c r="Z22" s="20"/>
      <c r="AA22" s="20"/>
      <c r="AB22" s="20"/>
      <c r="AC22" s="20"/>
      <c r="AD22" s="20"/>
      <c r="AE22" s="20"/>
      <c r="AF22" s="62"/>
      <c r="AI22" s="315"/>
      <c r="AJ22" s="316"/>
      <c r="AK22" s="77"/>
      <c r="AL22" s="128"/>
      <c r="AM22" s="129"/>
      <c r="AP22" s="87"/>
      <c r="AQ22" s="87"/>
      <c r="AT22" s="77"/>
      <c r="AU22" s="306"/>
      <c r="AV22" s="257"/>
      <c r="AW22" s="307"/>
      <c r="AX22" s="77"/>
      <c r="AY22" s="77"/>
      <c r="AZ22" s="77"/>
      <c r="BA22" s="77"/>
      <c r="BB22" s="77"/>
      <c r="BC22" s="77"/>
      <c r="BD22" s="77"/>
      <c r="BE22" s="77"/>
      <c r="BF22" s="77"/>
      <c r="BG22" s="77"/>
    </row>
    <row r="23" spans="1:59" ht="12.75">
      <c r="A23" s="54" t="s">
        <v>67</v>
      </c>
      <c r="B23" s="55"/>
      <c r="C23" s="56"/>
      <c r="D23" s="49"/>
      <c r="E23" s="20"/>
      <c r="F23" s="63" t="str">
        <f>IF(N_Fgl&gt;0,"Se il 1° figlio è in assenza del coniuge barrare la casella &gt;&gt;&gt;&gt;",Vuota1)</f>
        <v>        </v>
      </c>
      <c r="G23" s="63"/>
      <c r="H23" s="63"/>
      <c r="I23" s="20"/>
      <c r="J23" s="25"/>
      <c r="K23" s="20"/>
      <c r="L23" s="20"/>
      <c r="M23" s="20"/>
      <c r="N23" s="43"/>
      <c r="O23" s="63"/>
      <c r="P23" s="65"/>
      <c r="Q23" s="54" t="s">
        <v>67</v>
      </c>
      <c r="R23" s="55"/>
      <c r="S23" s="56"/>
      <c r="T23" s="49">
        <f>+D23</f>
        <v>0</v>
      </c>
      <c r="U23" s="20"/>
      <c r="V23" s="63" t="str">
        <f>IF(N_Fgl&gt;0,"Se il 1° figlio è in assenza delconiuge barrare la casella &gt;&gt;&gt;&gt;",Vuota1)</f>
        <v>        </v>
      </c>
      <c r="W23" s="63"/>
      <c r="X23" s="63"/>
      <c r="Y23" s="20"/>
      <c r="Z23" s="25"/>
      <c r="AA23" s="20"/>
      <c r="AB23" s="20"/>
      <c r="AC23" s="20"/>
      <c r="AD23" s="44">
        <f>+N23</f>
        <v>0</v>
      </c>
      <c r="AE23" s="63" t="str">
        <f>IF(AD23&gt;0,"Mesi a carico",Vuota1)</f>
        <v>        </v>
      </c>
      <c r="AF23" s="65"/>
      <c r="AI23" s="315"/>
      <c r="AJ23" s="316"/>
      <c r="AK23" s="77"/>
      <c r="AL23" s="128"/>
      <c r="AM23" s="129"/>
      <c r="AP23" s="87"/>
      <c r="AQ23" s="87"/>
      <c r="AT23" s="77"/>
      <c r="AU23" s="306"/>
      <c r="AV23" s="257"/>
      <c r="AW23" s="307"/>
      <c r="AX23" s="77"/>
      <c r="AY23" s="77"/>
      <c r="AZ23" s="77"/>
      <c r="BA23" s="77"/>
      <c r="BB23" s="77"/>
      <c r="BC23" s="77"/>
      <c r="BD23" s="77"/>
      <c r="BE23" s="77"/>
      <c r="BF23" s="77"/>
      <c r="BG23" s="77"/>
    </row>
    <row r="24" spans="1:59" ht="12.75" customHeight="1">
      <c r="A24" s="47"/>
      <c r="B24" s="239" t="s">
        <v>64</v>
      </c>
      <c r="C24" s="240"/>
      <c r="D24" s="293"/>
      <c r="E24" s="294" t="s">
        <v>65</v>
      </c>
      <c r="F24" s="295"/>
      <c r="G24" s="293"/>
      <c r="H24" s="294" t="s">
        <v>59</v>
      </c>
      <c r="I24" s="295"/>
      <c r="J24" s="293"/>
      <c r="K24" s="48"/>
      <c r="L24" s="63"/>
      <c r="M24" s="20"/>
      <c r="N24" s="20"/>
      <c r="O24" s="20"/>
      <c r="P24" s="62"/>
      <c r="Q24" s="47"/>
      <c r="R24" s="239" t="s">
        <v>64</v>
      </c>
      <c r="S24" s="240"/>
      <c r="T24" s="293"/>
      <c r="U24" s="294" t="s">
        <v>65</v>
      </c>
      <c r="V24" s="295"/>
      <c r="W24" s="293"/>
      <c r="X24" s="294" t="s">
        <v>59</v>
      </c>
      <c r="Y24" s="295"/>
      <c r="Z24" s="293"/>
      <c r="AA24" s="42" t="s">
        <v>80</v>
      </c>
      <c r="AB24" s="63"/>
      <c r="AC24" s="20"/>
      <c r="AD24" s="20"/>
      <c r="AE24" s="20"/>
      <c r="AF24" s="62"/>
      <c r="AI24" s="315"/>
      <c r="AJ24" s="316"/>
      <c r="AK24" s="77"/>
      <c r="AL24" s="128"/>
      <c r="AM24" s="129"/>
      <c r="AP24" s="87"/>
      <c r="AQ24" s="87"/>
      <c r="AT24" s="77"/>
      <c r="AU24" s="306"/>
      <c r="AV24" s="257"/>
      <c r="AW24" s="307"/>
      <c r="AX24" s="77"/>
      <c r="AY24" s="77"/>
      <c r="AZ24" s="77"/>
      <c r="BA24" s="77"/>
      <c r="BB24" s="77"/>
      <c r="BC24" s="77"/>
      <c r="BD24" s="77"/>
      <c r="BE24" s="77"/>
      <c r="BF24" s="77"/>
      <c r="BG24" s="77"/>
    </row>
    <row r="25" spans="1:59" ht="12.75" customHeight="1">
      <c r="A25" s="64" t="str">
        <f>IF(N_Fgl&gt;0,"1° figlio",Vuota1)</f>
        <v>        </v>
      </c>
      <c r="B25" s="63"/>
      <c r="C25" s="43"/>
      <c r="D25" s="63"/>
      <c r="E25" s="63"/>
      <c r="F25" s="43"/>
      <c r="G25" s="63"/>
      <c r="H25" s="63"/>
      <c r="I25" s="43"/>
      <c r="J25" s="63"/>
      <c r="K25" s="63"/>
      <c r="L25" s="66" t="str">
        <f>IF($D$23&gt;0,ROUND(AB25/12,2),Vuota1)</f>
        <v>        </v>
      </c>
      <c r="M25" s="231" t="s">
        <v>69</v>
      </c>
      <c r="N25" s="232"/>
      <c r="O25" s="233"/>
      <c r="P25" s="244">
        <v>1</v>
      </c>
      <c r="Q25" s="64" t="str">
        <f>IF(N_Fgl&gt;0,"1° figlio",Vuota1)</f>
        <v>        </v>
      </c>
      <c r="R25" s="63"/>
      <c r="S25" s="43">
        <f aca="true" t="shared" si="2" ref="S25:S31">+C25</f>
        <v>0</v>
      </c>
      <c r="T25" s="63"/>
      <c r="U25" s="63"/>
      <c r="V25" s="43">
        <f aca="true" t="shared" si="3" ref="V25:V31">+F25</f>
        <v>0</v>
      </c>
      <c r="W25" s="63"/>
      <c r="X25" s="63"/>
      <c r="Y25" s="43">
        <f aca="true" t="shared" si="4" ref="Y25:Y31">+I25</f>
        <v>0</v>
      </c>
      <c r="Z25" s="63"/>
      <c r="AA25" s="43"/>
      <c r="AB25" s="66" t="str">
        <f>IF(N_Fgl&gt;0,IF(AD23&gt;0,AH27,ROUND(dsfig*Percm,2)+IF($V$25&gt;0,ROUND((dsfg3-dsfig)*Percm,2),0)+IF($Y$25&gt;0,ROUND(dsfhc*Percm,2),0)),Vuota1)</f>
        <v>        </v>
      </c>
      <c r="AC25" s="231" t="s">
        <v>69</v>
      </c>
      <c r="AD25" s="232"/>
      <c r="AE25" s="233"/>
      <c r="AF25" s="244">
        <f>+P25</f>
        <v>1</v>
      </c>
      <c r="AH25" s="106">
        <f>ROUND(dsfig,5)+IF($V$25&gt;0,ROUND(dsfg3-dsfig,5),0)+IF($Y$25&gt;0,ROUND(dsfhc,5),0)</f>
        <v>0</v>
      </c>
      <c r="AI25" s="315"/>
      <c r="AJ25" s="316"/>
      <c r="AK25" s="77"/>
      <c r="AL25" s="128"/>
      <c r="AM25" s="129"/>
      <c r="AP25" s="87"/>
      <c r="AQ25" s="87"/>
      <c r="AT25" s="77"/>
      <c r="AU25" s="308"/>
      <c r="AV25" s="309"/>
      <c r="AW25" s="310"/>
      <c r="AX25" s="77"/>
      <c r="AY25" s="77"/>
      <c r="AZ25" s="77"/>
      <c r="BA25" s="77"/>
      <c r="BB25" s="77"/>
      <c r="BC25" s="77"/>
      <c r="BD25" s="77"/>
      <c r="BE25" s="77"/>
      <c r="BF25" s="77"/>
      <c r="BG25" s="77"/>
    </row>
    <row r="26" spans="1:59" ht="12.75">
      <c r="A26" s="64" t="str">
        <f>IF(N_Fgl&gt;1,"2° figlio"," ")</f>
        <v> </v>
      </c>
      <c r="B26" s="63"/>
      <c r="C26" s="43"/>
      <c r="D26" s="63"/>
      <c r="E26" s="63"/>
      <c r="F26" s="43"/>
      <c r="G26" s="63"/>
      <c r="H26" s="63"/>
      <c r="I26" s="43"/>
      <c r="J26" s="63"/>
      <c r="K26" s="63"/>
      <c r="L26" s="66" t="str">
        <f>IF($D$23&gt;1,ROUND(AB26/12,2),Vuota1)</f>
        <v>        </v>
      </c>
      <c r="M26" s="234"/>
      <c r="N26" s="188"/>
      <c r="O26" s="235"/>
      <c r="P26" s="245"/>
      <c r="Q26" s="64" t="str">
        <f>IF(N_Fgl&gt;1,"2° figlio"," ")</f>
        <v> </v>
      </c>
      <c r="R26" s="63"/>
      <c r="S26" s="43">
        <f t="shared" si="2"/>
        <v>0</v>
      </c>
      <c r="T26" s="63"/>
      <c r="U26" s="63"/>
      <c r="V26" s="43">
        <f t="shared" si="3"/>
        <v>0</v>
      </c>
      <c r="W26" s="63"/>
      <c r="X26" s="63"/>
      <c r="Y26" s="43">
        <f t="shared" si="4"/>
        <v>0</v>
      </c>
      <c r="Z26" s="63"/>
      <c r="AA26" s="43"/>
      <c r="AB26" s="66" t="str">
        <f>IF(N_Fgl&gt;1,ROUND(dsfig*Percm,2)+IF(V26&gt;0,ROUND((dsfg3-dsfig)*Percm,2),0)+IF(Y26&gt;0,ROUND(dsfhc*Percm,2),0),Vuota1)</f>
        <v>        </v>
      </c>
      <c r="AC26" s="234"/>
      <c r="AD26" s="188"/>
      <c r="AE26" s="235"/>
      <c r="AF26" s="245"/>
      <c r="AI26" s="315"/>
      <c r="AJ26" s="316"/>
      <c r="AK26" s="77"/>
      <c r="AL26" s="128"/>
      <c r="AM26" s="129"/>
      <c r="AP26" s="87"/>
      <c r="AQ26" s="8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</row>
    <row r="27" spans="1:59" ht="12.75">
      <c r="A27" s="64" t="str">
        <f>IF(N_Fgl&gt;2,"3° figlio"," ")</f>
        <v> </v>
      </c>
      <c r="B27" s="63"/>
      <c r="C27" s="43"/>
      <c r="D27" s="63"/>
      <c r="E27" s="63"/>
      <c r="F27" s="43"/>
      <c r="G27" s="63"/>
      <c r="H27" s="63"/>
      <c r="I27" s="43"/>
      <c r="J27" s="63"/>
      <c r="K27" s="63"/>
      <c r="L27" s="66" t="str">
        <f>IF($D$23&gt;2,ROUND(AB27/12,2),Vuota1)</f>
        <v>        </v>
      </c>
      <c r="M27" s="236"/>
      <c r="N27" s="237"/>
      <c r="O27" s="238"/>
      <c r="P27" s="246"/>
      <c r="Q27" s="64" t="str">
        <f>IF(N_Fgl&gt;2,"3° figlio"," ")</f>
        <v> </v>
      </c>
      <c r="R27" s="63"/>
      <c r="S27" s="43">
        <f t="shared" si="2"/>
        <v>0</v>
      </c>
      <c r="T27" s="63"/>
      <c r="U27" s="63"/>
      <c r="V27" s="43">
        <f t="shared" si="3"/>
        <v>0</v>
      </c>
      <c r="W27" s="63"/>
      <c r="X27" s="63"/>
      <c r="Y27" s="43">
        <f t="shared" si="4"/>
        <v>0</v>
      </c>
      <c r="Z27" s="63"/>
      <c r="AA27" s="43"/>
      <c r="AB27" s="66" t="str">
        <f>IF(N_Fgl&gt;2,ROUND(dsfig*Percm,2)+IF(V27&gt;0,ROUND((dsfg3-dsfig)*Percm,2),0)+IF(Y27&gt;0,ROUND(dsfhc*Percm,2),0),Vuota1)</f>
        <v>        </v>
      </c>
      <c r="AC27" s="236"/>
      <c r="AD27" s="237"/>
      <c r="AE27" s="238"/>
      <c r="AF27" s="246"/>
      <c r="AH27" s="106">
        <f>IF($AD$23&gt;0,IF($AH$25&gt;Cng_nn,ROUND($AH$25,2),ROUND(Cng_nn,5)),AH25)</f>
        <v>0</v>
      </c>
      <c r="AI27" s="315"/>
      <c r="AJ27" s="316"/>
      <c r="AK27" s="77"/>
      <c r="AL27" s="128"/>
      <c r="AM27" s="129"/>
      <c r="AP27" s="87"/>
      <c r="AQ27" s="8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</row>
    <row r="28" spans="1:59" ht="12.75">
      <c r="A28" s="64" t="str">
        <f>IF(N_Fgl&gt;3,"4° figlio"," ")</f>
        <v> </v>
      </c>
      <c r="B28" s="63"/>
      <c r="C28" s="43"/>
      <c r="D28" s="63"/>
      <c r="E28" s="63"/>
      <c r="F28" s="43"/>
      <c r="G28" s="63"/>
      <c r="H28" s="63"/>
      <c r="I28" s="43"/>
      <c r="J28" s="63"/>
      <c r="K28" s="63"/>
      <c r="L28" s="66" t="str">
        <f>IF($D$23&gt;3,ROUND(AB28/12,2),Vuota1)</f>
        <v>        </v>
      </c>
      <c r="M28" s="319" t="str">
        <f>IF(N23&gt;0,IF(P25=50%,"Attenzione: la percentuale deve essere 100%",Vuota1),Vuota1)</f>
        <v>        </v>
      </c>
      <c r="N28" s="319"/>
      <c r="O28" s="319"/>
      <c r="P28" s="320"/>
      <c r="Q28" s="64" t="str">
        <f>IF(N_Fgl&gt;3,"4° figlio"," ")</f>
        <v> </v>
      </c>
      <c r="R28" s="63"/>
      <c r="S28" s="43">
        <f t="shared" si="2"/>
        <v>0</v>
      </c>
      <c r="T28" s="63"/>
      <c r="U28" s="63"/>
      <c r="V28" s="43">
        <f t="shared" si="3"/>
        <v>0</v>
      </c>
      <c r="W28" s="63"/>
      <c r="X28" s="63"/>
      <c r="Y28" s="43">
        <f t="shared" si="4"/>
        <v>0</v>
      </c>
      <c r="Z28" s="63"/>
      <c r="AA28" s="43"/>
      <c r="AB28" s="66" t="str">
        <f>IF(N_Fgl&gt;3,ROUND(dsfig*Percm,2)+IF(V28&gt;0,ROUND((dsfg3-dsfig)*Percm,2),0)+IF(Y28&gt;0,ROUND(dsfhc*Percm,2),0),Vuota1)</f>
        <v>        </v>
      </c>
      <c r="AC28" s="20"/>
      <c r="AD28" s="20"/>
      <c r="AE28" s="20"/>
      <c r="AF28" s="62"/>
      <c r="AI28" s="315"/>
      <c r="AJ28" s="316"/>
      <c r="AK28" s="77"/>
      <c r="AL28" s="128"/>
      <c r="AM28" s="129"/>
      <c r="AP28" s="87"/>
      <c r="AQ28" s="8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</row>
    <row r="29" spans="1:59" ht="13.5" thickBot="1">
      <c r="A29" s="64" t="str">
        <f>IF(N_Fgl&gt;4,"5° figlio"," ")</f>
        <v> </v>
      </c>
      <c r="B29" s="63"/>
      <c r="C29" s="43"/>
      <c r="D29" s="63"/>
      <c r="E29" s="63"/>
      <c r="F29" s="43"/>
      <c r="G29" s="63"/>
      <c r="H29" s="63"/>
      <c r="I29" s="43"/>
      <c r="J29" s="63"/>
      <c r="K29" s="63"/>
      <c r="L29" s="66" t="str">
        <f>IF($D$23&gt;4,ROUND(AB29/12,2),Vuota1)</f>
        <v>        </v>
      </c>
      <c r="M29" s="321"/>
      <c r="N29" s="321"/>
      <c r="O29" s="321"/>
      <c r="P29" s="322"/>
      <c r="Q29" s="64" t="str">
        <f>IF(N_Fgl&gt;4,"5° figlio"," ")</f>
        <v> </v>
      </c>
      <c r="R29" s="63"/>
      <c r="S29" s="43">
        <f t="shared" si="2"/>
        <v>0</v>
      </c>
      <c r="T29" s="63"/>
      <c r="U29" s="63"/>
      <c r="V29" s="43">
        <f t="shared" si="3"/>
        <v>0</v>
      </c>
      <c r="W29" s="63"/>
      <c r="X29" s="63"/>
      <c r="Y29" s="43">
        <f t="shared" si="4"/>
        <v>0</v>
      </c>
      <c r="Z29" s="63"/>
      <c r="AA29" s="43"/>
      <c r="AB29" s="66" t="str">
        <f>IF(N_Fgl&gt;4,ROUND(dsfig*Percm,2)+IF(V29&gt;0,ROUND((dsfg3-dsfig)*Percm,2),0)+IF(Y29&gt;0,ROUND(dsfhc*Percm,2),0),Vuota1)</f>
        <v>        </v>
      </c>
      <c r="AC29" s="20"/>
      <c r="AD29" s="20"/>
      <c r="AE29" s="20"/>
      <c r="AF29" s="62"/>
      <c r="AI29" s="315"/>
      <c r="AJ29" s="316"/>
      <c r="AK29" s="77"/>
      <c r="AL29" s="128"/>
      <c r="AM29" s="129"/>
      <c r="AP29" s="87"/>
      <c r="AQ29" s="8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</row>
    <row r="30" spans="1:59" ht="13.5" thickTop="1">
      <c r="A30" s="64" t="str">
        <f>IF(N_Fgl&gt;5,"6° figlio"," ")</f>
        <v> </v>
      </c>
      <c r="B30" s="63"/>
      <c r="C30" s="43"/>
      <c r="D30" s="63"/>
      <c r="E30" s="63"/>
      <c r="F30" s="43"/>
      <c r="G30" s="63"/>
      <c r="H30" s="63"/>
      <c r="I30" s="43"/>
      <c r="J30" s="63"/>
      <c r="K30" s="63"/>
      <c r="L30" s="66" t="str">
        <f>IF($D$23&gt;5,ROUND(AB30/12,2),Vuota1)</f>
        <v>        </v>
      </c>
      <c r="M30" s="20"/>
      <c r="N30" s="20"/>
      <c r="O30" s="20"/>
      <c r="P30" s="62"/>
      <c r="Q30" s="64" t="str">
        <f>IF(N_Fgl&gt;5,"6° figlio"," ")</f>
        <v> </v>
      </c>
      <c r="R30" s="63"/>
      <c r="S30" s="43">
        <f t="shared" si="2"/>
        <v>0</v>
      </c>
      <c r="T30" s="63"/>
      <c r="U30" s="63"/>
      <c r="V30" s="43">
        <f t="shared" si="3"/>
        <v>0</v>
      </c>
      <c r="W30" s="63"/>
      <c r="X30" s="63"/>
      <c r="Y30" s="43">
        <f t="shared" si="4"/>
        <v>0</v>
      </c>
      <c r="Z30" s="63"/>
      <c r="AA30" s="43"/>
      <c r="AB30" s="66" t="str">
        <f>IF(N_Fgl&gt;5,ROUND(dsfig*Percm,2)+IF(V30&gt;0,ROUND((dsfg3-dsfig)*Percm,2),0)+IF(Y30&gt;0,ROUND(dsfhc*Percm,2),0),Vuota1)</f>
        <v>        </v>
      </c>
      <c r="AC30" s="20"/>
      <c r="AD30" s="20"/>
      <c r="AE30" s="20"/>
      <c r="AF30" s="62"/>
      <c r="AI30" s="315"/>
      <c r="AJ30" s="316"/>
      <c r="AK30" s="77"/>
      <c r="AL30" s="128"/>
      <c r="AM30" s="129"/>
      <c r="AP30" s="87"/>
      <c r="AQ30" s="87"/>
      <c r="AT30" s="77"/>
      <c r="AU30" s="253" t="s">
        <v>99</v>
      </c>
      <c r="AV30" s="254"/>
      <c r="AW30" s="255"/>
      <c r="AX30" s="77"/>
      <c r="AY30" s="77"/>
      <c r="AZ30" s="77"/>
      <c r="BA30" s="77"/>
      <c r="BB30" s="77"/>
      <c r="BC30" s="77"/>
      <c r="BD30" s="77"/>
      <c r="BE30" s="77"/>
      <c r="BF30" s="77"/>
      <c r="BG30" s="77"/>
    </row>
    <row r="31" spans="1:59" ht="12.75">
      <c r="A31" s="64" t="str">
        <f>IF(N_Fgl&gt;6,"7° figlio"," ")</f>
        <v> </v>
      </c>
      <c r="B31" s="63"/>
      <c r="C31" s="43"/>
      <c r="D31" s="63"/>
      <c r="E31" s="63"/>
      <c r="F31" s="43"/>
      <c r="G31" s="63"/>
      <c r="H31" s="63"/>
      <c r="I31" s="43"/>
      <c r="J31" s="63"/>
      <c r="K31" s="63"/>
      <c r="L31" s="66" t="str">
        <f>IF($D$23&gt;6,ROUND(AB31/12,2),Vuota1)</f>
        <v>        </v>
      </c>
      <c r="M31" s="20"/>
      <c r="N31" s="20"/>
      <c r="O31" s="20"/>
      <c r="P31" s="62"/>
      <c r="Q31" s="64" t="str">
        <f>IF(N_Fgl&gt;6,"7° figlio"," ")</f>
        <v> </v>
      </c>
      <c r="R31" s="63"/>
      <c r="S31" s="43">
        <f t="shared" si="2"/>
        <v>0</v>
      </c>
      <c r="T31" s="63"/>
      <c r="U31" s="63"/>
      <c r="V31" s="43">
        <f t="shared" si="3"/>
        <v>0</v>
      </c>
      <c r="W31" s="63"/>
      <c r="X31" s="63"/>
      <c r="Y31" s="43">
        <f t="shared" si="4"/>
        <v>0</v>
      </c>
      <c r="Z31" s="63"/>
      <c r="AA31" s="43"/>
      <c r="AB31" s="66" t="str">
        <f>IF(N_Fgl&gt;6,ROUND(dsfig*Percm,2)+IF(V31&gt;0,ROUND((dsfg3-dsfig)*Percm,2),0)+IF(Y31&gt;0,ROUND(dsfhc*Percm,2),0),Vuota1)</f>
        <v>        </v>
      </c>
      <c r="AC31" s="20"/>
      <c r="AD31" s="20"/>
      <c r="AE31" s="20"/>
      <c r="AF31" s="62"/>
      <c r="AI31" s="315"/>
      <c r="AJ31" s="316"/>
      <c r="AK31" s="77"/>
      <c r="AL31" s="128"/>
      <c r="AM31" s="129"/>
      <c r="AP31" s="87"/>
      <c r="AQ31" s="87"/>
      <c r="AT31" s="77"/>
      <c r="AU31" s="256"/>
      <c r="AV31" s="257"/>
      <c r="AW31" s="258"/>
      <c r="AX31" s="77"/>
      <c r="AY31" s="77"/>
      <c r="AZ31" s="77"/>
      <c r="BA31" s="77"/>
      <c r="BB31" s="77"/>
      <c r="BC31" s="77"/>
      <c r="BD31" s="77"/>
      <c r="BE31" s="77"/>
      <c r="BF31" s="77"/>
      <c r="BG31" s="77"/>
    </row>
    <row r="32" spans="1:59" ht="12.75">
      <c r="A32" s="5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62"/>
      <c r="Q32" s="57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62"/>
      <c r="AI32" s="315"/>
      <c r="AJ32" s="316"/>
      <c r="AK32" s="77"/>
      <c r="AL32" s="128"/>
      <c r="AM32" s="129"/>
      <c r="AP32" s="87"/>
      <c r="AQ32" s="87"/>
      <c r="AT32" s="77"/>
      <c r="AU32" s="256"/>
      <c r="AV32" s="257"/>
      <c r="AW32" s="258"/>
      <c r="AX32" s="77"/>
      <c r="AY32" s="77"/>
      <c r="AZ32" s="77"/>
      <c r="BA32" s="77"/>
      <c r="BB32" s="77"/>
      <c r="BC32" s="77"/>
      <c r="BD32" s="77"/>
      <c r="BE32" s="77"/>
      <c r="BF32" s="77"/>
      <c r="BG32" s="77"/>
    </row>
    <row r="33" spans="1:59" ht="12.75" customHeight="1">
      <c r="A33" s="286" t="s">
        <v>86</v>
      </c>
      <c r="B33" s="287"/>
      <c r="C33" s="288"/>
      <c r="D33" s="2"/>
      <c r="E33" s="20"/>
      <c r="F33" s="63"/>
      <c r="G33" s="63"/>
      <c r="H33" s="63"/>
      <c r="I33" s="45"/>
      <c r="J33" s="20"/>
      <c r="K33" s="188" t="str">
        <f>IF(D33&gt;0,"Indicare il numero complessivo degli aventi diritto alla detrazione pro quota",Vuota1)</f>
        <v>        </v>
      </c>
      <c r="L33" s="179"/>
      <c r="M33" s="179"/>
      <c r="N33" s="179"/>
      <c r="O33" s="179"/>
      <c r="P33" s="223"/>
      <c r="Q33" s="286" t="s">
        <v>86</v>
      </c>
      <c r="R33" s="287"/>
      <c r="S33" s="288"/>
      <c r="T33" s="2">
        <f>+D33</f>
        <v>0</v>
      </c>
      <c r="U33" s="20"/>
      <c r="V33" s="63" t="str">
        <f>IF(T33&gt;0,"Mesi a carico",Vuota1)</f>
        <v>        </v>
      </c>
      <c r="W33" s="63"/>
      <c r="X33" s="63"/>
      <c r="Y33" s="45">
        <v>12</v>
      </c>
      <c r="Z33" s="20"/>
      <c r="AA33" s="188" t="str">
        <f>IF(T33&gt;0,"Indicare il numero complessivo degli aventi diritto alla detrazione pro quota",Vuota1)</f>
        <v>        </v>
      </c>
      <c r="AB33" s="311"/>
      <c r="AC33" s="311"/>
      <c r="AD33" s="311"/>
      <c r="AE33" s="311"/>
      <c r="AF33" s="223">
        <f>+P33</f>
        <v>0</v>
      </c>
      <c r="AI33" s="315"/>
      <c r="AJ33" s="316"/>
      <c r="AK33" s="77"/>
      <c r="AL33" s="128"/>
      <c r="AM33" s="129"/>
      <c r="AP33" s="87"/>
      <c r="AQ33" s="87"/>
      <c r="AT33" s="77"/>
      <c r="AU33" s="256"/>
      <c r="AV33" s="257"/>
      <c r="AW33" s="258"/>
      <c r="AX33" s="77"/>
      <c r="AY33" s="77"/>
      <c r="AZ33" s="77"/>
      <c r="BA33" s="77"/>
      <c r="BB33" s="77"/>
      <c r="BC33" s="77"/>
      <c r="BD33" s="77"/>
      <c r="BE33" s="77"/>
      <c r="BF33" s="77"/>
      <c r="BG33" s="77"/>
    </row>
    <row r="34" spans="1:59" ht="12.75">
      <c r="A34" s="80"/>
      <c r="B34" s="81"/>
      <c r="C34" s="81"/>
      <c r="D34" s="82"/>
      <c r="E34" s="20"/>
      <c r="F34" s="63"/>
      <c r="G34" s="63"/>
      <c r="H34" s="63"/>
      <c r="I34" s="45"/>
      <c r="J34" s="20"/>
      <c r="K34" s="180"/>
      <c r="L34" s="180"/>
      <c r="M34" s="180"/>
      <c r="N34" s="180"/>
      <c r="O34" s="180"/>
      <c r="P34" s="224"/>
      <c r="Q34" s="80"/>
      <c r="R34" s="81"/>
      <c r="S34" s="81"/>
      <c r="T34" s="82"/>
      <c r="U34" s="20"/>
      <c r="V34" s="63"/>
      <c r="W34" s="63"/>
      <c r="X34" s="63"/>
      <c r="Y34" s="45"/>
      <c r="Z34" s="20"/>
      <c r="AA34" s="180"/>
      <c r="AB34" s="180"/>
      <c r="AC34" s="180"/>
      <c r="AD34" s="180"/>
      <c r="AE34" s="180"/>
      <c r="AF34" s="224"/>
      <c r="AI34" s="315"/>
      <c r="AJ34" s="316"/>
      <c r="AK34" s="77"/>
      <c r="AL34" s="128"/>
      <c r="AM34" s="129"/>
      <c r="AP34" s="87"/>
      <c r="AQ34" s="87"/>
      <c r="AT34" s="77"/>
      <c r="AU34" s="256"/>
      <c r="AV34" s="257"/>
      <c r="AW34" s="258"/>
      <c r="AX34" s="77"/>
      <c r="AY34" s="77"/>
      <c r="AZ34" s="77"/>
      <c r="BA34" s="77"/>
      <c r="BB34" s="77"/>
      <c r="BC34" s="77"/>
      <c r="BD34" s="77"/>
      <c r="BE34" s="77"/>
      <c r="BF34" s="77"/>
      <c r="BG34" s="77"/>
    </row>
    <row r="35" spans="1:59" ht="12.75">
      <c r="A35" s="165" t="s">
        <v>70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7"/>
      <c r="Q35" s="165" t="s">
        <v>70</v>
      </c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7"/>
      <c r="AI35" s="315"/>
      <c r="AJ35" s="316"/>
      <c r="AK35" s="77"/>
      <c r="AL35" s="120">
        <v>0.0001</v>
      </c>
      <c r="AM35" s="121">
        <f>ROUND(DetrConiuge-(Ind*Rapp),2)</f>
        <v>800</v>
      </c>
      <c r="AO35">
        <f>IF(AP35&gt;0,1,0)</f>
        <v>0</v>
      </c>
      <c r="AP35" s="87"/>
      <c r="AQ35" s="87">
        <v>200</v>
      </c>
      <c r="AT35" s="77"/>
      <c r="AU35" s="256"/>
      <c r="AV35" s="257"/>
      <c r="AW35" s="258"/>
      <c r="AX35" s="77"/>
      <c r="AY35" s="77"/>
      <c r="AZ35" s="77"/>
      <c r="BA35" s="77"/>
      <c r="BB35" s="77"/>
      <c r="BC35" s="77"/>
      <c r="BD35" s="77"/>
      <c r="BE35" s="77"/>
      <c r="BF35" s="77"/>
      <c r="BG35" s="77"/>
    </row>
    <row r="36" spans="1:59" ht="12.75">
      <c r="A36" s="290" t="s">
        <v>32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2"/>
      <c r="Q36" s="290" t="s">
        <v>32</v>
      </c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2"/>
      <c r="AH36" s="184" t="s">
        <v>62</v>
      </c>
      <c r="AI36" s="315"/>
      <c r="AJ36" s="316"/>
      <c r="AK36" s="77"/>
      <c r="AL36" s="122">
        <v>1</v>
      </c>
      <c r="AM36" s="121">
        <f>+DetrRid</f>
        <v>690</v>
      </c>
      <c r="AO36">
        <f>IF(AP36&gt;0,1,0)</f>
        <v>0</v>
      </c>
      <c r="AP36" s="87"/>
      <c r="AQ36" s="87">
        <v>1500</v>
      </c>
      <c r="AT36" s="77"/>
      <c r="AU36" s="256"/>
      <c r="AV36" s="257"/>
      <c r="AW36" s="258"/>
      <c r="AX36" s="77"/>
      <c r="AY36" s="77"/>
      <c r="AZ36" s="77"/>
      <c r="BA36" s="77"/>
      <c r="BB36" s="77"/>
      <c r="BC36" s="77"/>
      <c r="BD36" s="77"/>
      <c r="BE36" s="77"/>
      <c r="BF36" s="77"/>
      <c r="BG36" s="77"/>
    </row>
    <row r="37" spans="1:59" ht="12.75">
      <c r="A37" s="225" t="s">
        <v>19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7"/>
      <c r="M37" s="3">
        <f>ROUND(AC37/12,0)</f>
        <v>0</v>
      </c>
      <c r="N37" s="20"/>
      <c r="O37" s="20"/>
      <c r="P37" s="62"/>
      <c r="Q37" s="225" t="s">
        <v>19</v>
      </c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7"/>
      <c r="AC37" s="3">
        <f>IF(CNG="SI",ROUND((VLOOKUP(Redd_Detraz,ConDetr,3)+VLOOKUP(Redd_Detraz,LettB,3))/12*Me_co,2),0)</f>
        <v>0</v>
      </c>
      <c r="AD37" s="20"/>
      <c r="AE37" s="20"/>
      <c r="AF37" s="62"/>
      <c r="AH37" s="184"/>
      <c r="AI37" s="315"/>
      <c r="AJ37" s="316"/>
      <c r="AK37" s="77"/>
      <c r="AL37" s="123">
        <v>10</v>
      </c>
      <c r="AM37" s="124">
        <f>ROUND(DetrConiuge-(Ind*Rapp),2)</f>
        <v>800</v>
      </c>
      <c r="AO37">
        <f>SUM(AO18:AO36)</f>
        <v>0</v>
      </c>
      <c r="AT37" s="77"/>
      <c r="AU37" s="256"/>
      <c r="AV37" s="257"/>
      <c r="AW37" s="258"/>
      <c r="AX37" s="77"/>
      <c r="AY37" s="77"/>
      <c r="AZ37" s="77"/>
      <c r="BA37" s="77"/>
      <c r="BB37" s="77"/>
      <c r="BC37" s="77"/>
      <c r="BD37" s="77"/>
      <c r="BE37" s="77"/>
      <c r="BF37" s="77"/>
      <c r="BG37" s="77"/>
    </row>
    <row r="38" spans="1:59" ht="13.5" thickBot="1">
      <c r="A38" s="225" t="s">
        <v>42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7"/>
      <c r="M38" s="3">
        <f>ROUND(AC38/12,0)</f>
        <v>0</v>
      </c>
      <c r="N38" s="20"/>
      <c r="O38" s="20"/>
      <c r="P38" s="62"/>
      <c r="Q38" s="225" t="s">
        <v>42</v>
      </c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7"/>
      <c r="AC38" s="3">
        <f>SUMIF(AB25:AB31,"&gt;0")</f>
        <v>0</v>
      </c>
      <c r="AD38" s="20"/>
      <c r="AE38" s="20"/>
      <c r="AF38" s="62"/>
      <c r="AH38" s="109">
        <f>IF(Lordo&gt;0,ROUND((VLOOKUP(Redd_Detraz,ConDetr,3)+VLOOKUP(Redd_Detraz,LettB,3)),5),0)</f>
        <v>0</v>
      </c>
      <c r="AI38" s="315"/>
      <c r="AJ38" s="110">
        <v>40000</v>
      </c>
      <c r="AK38" s="77"/>
      <c r="AL38" s="125"/>
      <c r="AM38" s="126">
        <f>+DetrRid</f>
        <v>690</v>
      </c>
      <c r="AT38" s="77"/>
      <c r="AU38" s="259"/>
      <c r="AV38" s="260"/>
      <c r="AW38" s="261"/>
      <c r="AX38" s="77"/>
      <c r="AY38" s="77"/>
      <c r="AZ38" s="77"/>
      <c r="BA38" s="77"/>
      <c r="BB38" s="77"/>
      <c r="BC38" s="77"/>
      <c r="BD38" s="77"/>
      <c r="BE38" s="77"/>
      <c r="BF38" s="77"/>
      <c r="BG38" s="77"/>
    </row>
    <row r="39" spans="1:59" ht="13.5" thickTop="1">
      <c r="A39" s="225" t="s">
        <v>56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7"/>
      <c r="M39" s="3">
        <f>IF(D33&gt;0,IF(P33&gt;0,ROUND(AC39/12,0),0),0)</f>
        <v>0</v>
      </c>
      <c r="N39" s="20"/>
      <c r="O39" s="20"/>
      <c r="P39" s="62"/>
      <c r="Q39" s="225" t="s">
        <v>56</v>
      </c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7"/>
      <c r="AC39" s="3">
        <f>IF(T33&gt;0,ROUND(dsaltri*T33/12*Y33/AF33,2),0)</f>
        <v>0</v>
      </c>
      <c r="AD39" s="20"/>
      <c r="AE39" s="20"/>
      <c r="AF39" s="62"/>
      <c r="AI39" s="315"/>
      <c r="AJ39" s="316">
        <v>80000</v>
      </c>
      <c r="AK39" s="77"/>
      <c r="AL39" s="118">
        <v>0</v>
      </c>
      <c r="AM39" s="119">
        <v>0</v>
      </c>
      <c r="AP39">
        <f>IF(AO37&gt;0,IF(VLOOKUP(AP42,abi,2)&lt;DetrRid,DetrRid,VLOOKUP(AP42,abi,2)),0)</f>
        <v>0</v>
      </c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</row>
    <row r="40" spans="1:59" ht="12.75">
      <c r="A40" s="172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4"/>
      <c r="Q40" s="172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4"/>
      <c r="AH40" s="184" t="s">
        <v>63</v>
      </c>
      <c r="AI40" s="315"/>
      <c r="AJ40" s="316"/>
      <c r="AK40" s="77"/>
      <c r="AL40" s="120">
        <v>0.0001</v>
      </c>
      <c r="AM40" s="121">
        <f>ROUND(DetrRid*Rap1,2)</f>
        <v>1380</v>
      </c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</row>
    <row r="41" spans="1:59" ht="12.75">
      <c r="A41" s="225" t="s">
        <v>76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7"/>
      <c r="M41" s="3">
        <f>SUM(M37:M39)</f>
        <v>0</v>
      </c>
      <c r="N41" s="20"/>
      <c r="O41" s="20"/>
      <c r="P41" s="62"/>
      <c r="Q41" s="225" t="s">
        <v>76</v>
      </c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7"/>
      <c r="AC41" s="3">
        <f>SUM(AC37:AC39)</f>
        <v>0</v>
      </c>
      <c r="AD41" s="20"/>
      <c r="AE41" s="20"/>
      <c r="AF41" s="62"/>
      <c r="AH41" s="184"/>
      <c r="AI41" s="315"/>
      <c r="AJ41" s="316"/>
      <c r="AK41" s="77"/>
      <c r="AL41" s="122">
        <v>1</v>
      </c>
      <c r="AM41" s="121">
        <f>ROUND(DetrRid*Rap1,2)</f>
        <v>1380</v>
      </c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</row>
    <row r="42" spans="1:59" ht="12.75">
      <c r="A42" s="165" t="s">
        <v>71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7"/>
      <c r="Q42" s="165" t="s">
        <v>71</v>
      </c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7"/>
      <c r="AH42" s="106">
        <f>dsfig+IF($V$25&gt;0,dsfg3-dsfig,0)+IF($Y$25&gt;0,dsfhc,0)</f>
        <v>0</v>
      </c>
      <c r="AI42" s="315"/>
      <c r="AJ42" s="316"/>
      <c r="AK42" s="77"/>
      <c r="AL42" s="123">
        <v>10</v>
      </c>
      <c r="AM42" s="124">
        <f>ROUND(DetrRid*Rap1,2)</f>
        <v>1380</v>
      </c>
      <c r="AP42" t="s">
        <v>58</v>
      </c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</row>
    <row r="43" spans="1:59" ht="12.75">
      <c r="A43" s="155" t="s">
        <v>73</v>
      </c>
      <c r="B43" s="156"/>
      <c r="C43" s="156"/>
      <c r="D43" s="156"/>
      <c r="E43" s="156"/>
      <c r="F43" s="157"/>
      <c r="G43" s="46" t="str">
        <f>IF(E17&gt;0,IF(G44&gt;0,Vuota1,"x"),Vuota1)</f>
        <v>        </v>
      </c>
      <c r="H43" s="63"/>
      <c r="I43" s="312" t="s">
        <v>141</v>
      </c>
      <c r="J43" s="158"/>
      <c r="K43" s="158"/>
      <c r="L43" s="158"/>
      <c r="M43" s="2">
        <v>30</v>
      </c>
      <c r="N43" s="20"/>
      <c r="O43" s="20"/>
      <c r="P43" s="62"/>
      <c r="Q43" s="155" t="s">
        <v>73</v>
      </c>
      <c r="R43" s="156"/>
      <c r="S43" s="156"/>
      <c r="T43" s="156"/>
      <c r="U43" s="156"/>
      <c r="V43" s="157"/>
      <c r="W43" s="46" t="str">
        <f>IF(W44&gt;0,Vuota1,"x")</f>
        <v>x</v>
      </c>
      <c r="X43" s="63"/>
      <c r="Y43" s="312" t="s">
        <v>75</v>
      </c>
      <c r="Z43" s="158"/>
      <c r="AA43" s="158"/>
      <c r="AB43" s="158"/>
      <c r="AC43" s="2">
        <v>365</v>
      </c>
      <c r="AD43" s="20"/>
      <c r="AE43" s="20"/>
      <c r="AF43" s="62"/>
      <c r="AI43" s="315"/>
      <c r="AJ43" s="114">
        <v>1000000000</v>
      </c>
      <c r="AK43" s="77"/>
      <c r="AL43" s="130">
        <v>0</v>
      </c>
      <c r="AM43" s="124">
        <v>0</v>
      </c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</row>
    <row r="44" spans="1:59" ht="12.75">
      <c r="A44" s="67" t="s">
        <v>74</v>
      </c>
      <c r="B44" s="68"/>
      <c r="C44" s="68"/>
      <c r="D44" s="68"/>
      <c r="E44" s="68"/>
      <c r="F44" s="20"/>
      <c r="G44" s="2"/>
      <c r="H44" s="63"/>
      <c r="I44" s="63"/>
      <c r="J44" s="63"/>
      <c r="K44" s="158" t="s">
        <v>77</v>
      </c>
      <c r="L44" s="158"/>
      <c r="M44" s="158"/>
      <c r="N44" s="159"/>
      <c r="O44" s="39">
        <f>IF(E17&gt;0,ROUND(AE44/365*M43,0),0)</f>
        <v>0</v>
      </c>
      <c r="P44" s="62"/>
      <c r="Q44" s="67" t="s">
        <v>74</v>
      </c>
      <c r="R44" s="68"/>
      <c r="S44" s="68"/>
      <c r="T44" s="68"/>
      <c r="U44" s="68"/>
      <c r="V44" s="20"/>
      <c r="W44" s="2">
        <f>+G44</f>
        <v>0</v>
      </c>
      <c r="X44" s="63"/>
      <c r="Y44" s="63"/>
      <c r="Z44" s="63"/>
      <c r="AA44" s="158" t="s">
        <v>77</v>
      </c>
      <c r="AB44" s="158"/>
      <c r="AC44" s="158"/>
      <c r="AD44" s="159"/>
      <c r="AE44" s="39">
        <f>IF(Lordo&gt;0,IF(W44&gt;0,IF(Redd_Detraz&lt;8000.01,IF(AH44&gt;AH47,AH44,AH47),AH44),IF(Redd_Detraz&lt;8000.01,IF(AH44&gt;AH46,AH44,AH46),AH44)),0)</f>
        <v>0</v>
      </c>
      <c r="AF44" s="62"/>
      <c r="AH44" s="373">
        <f>IF(Redd_Detraz&gt;0,ROUND((VLOOKUP(Redd_Detraz,Altre_detraz,2)/365*AC43+VLOOKUP(Redd_Detraz,Aum_altre,2)),5),0)</f>
        <v>0</v>
      </c>
      <c r="AI44" s="315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</row>
    <row r="45" spans="1:59" ht="12.75" customHeight="1" thickBot="1">
      <c r="A45" s="6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70"/>
      <c r="Q45" s="69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70"/>
      <c r="AI45" s="315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</row>
    <row r="46" spans="1:59" ht="12.75" customHeight="1" thickBot="1">
      <c r="A46" s="220" t="s">
        <v>142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2"/>
      <c r="O46" s="228">
        <f>+E17-L18</f>
        <v>0</v>
      </c>
      <c r="P46" s="228"/>
      <c r="Q46" s="71" t="s">
        <v>20</v>
      </c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228">
        <f>+Reddito_imponibile_mensile+Gratif_Anno</f>
        <v>0</v>
      </c>
      <c r="AF46" s="228"/>
      <c r="AH46" s="106">
        <v>690</v>
      </c>
      <c r="AI46" s="315"/>
      <c r="AJ46" s="106">
        <v>0.001</v>
      </c>
      <c r="AK46" s="87"/>
      <c r="AL46" s="106">
        <f>VLOOKUP(Rapp,quin,2)</f>
        <v>0</v>
      </c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</row>
    <row r="47" spans="1:59" ht="12.75" customHeight="1" thickBot="1">
      <c r="A47" s="220" t="s">
        <v>143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2"/>
      <c r="O47" s="162">
        <f>ROUND(IreTab/12,5)</f>
        <v>0</v>
      </c>
      <c r="P47" s="162"/>
      <c r="Q47" s="35" t="s">
        <v>60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14">
        <f>IF(Lordo&gt;0,IF(Reddito_imponibile_mensile&gt;0,ROUND((Reddito_imponibile_mensile-VLOOKUP(Reddito_imponibile_mensile,Aliquote,1))*VLOOKUP(Reddito_imponibile_mensile,Aliquote,3),5)+VLOOKUP(Reddito_imponibile_mensile,Aliquote,4),0)+IF(Gratif_Anno&gt;0,ROUND(Gratif_Anno*VLOOKUP(ReddNetto,Aliquote,3),5),0),0)</f>
        <v>0</v>
      </c>
      <c r="AF47" s="314"/>
      <c r="AH47" s="106">
        <v>1380</v>
      </c>
      <c r="AI47" s="315"/>
      <c r="AJ47" s="106">
        <v>15000</v>
      </c>
      <c r="AK47" s="87"/>
      <c r="AL47" s="106">
        <f>+DetrRid</f>
        <v>690</v>
      </c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</row>
    <row r="48" spans="1:59" ht="13.5" thickBot="1">
      <c r="A48" s="220" t="s">
        <v>144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2"/>
      <c r="O48" s="162">
        <f>+M41+O44</f>
        <v>0</v>
      </c>
      <c r="P48" s="162"/>
      <c r="Q48" s="37" t="s">
        <v>36</v>
      </c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162">
        <f>+AC41+AE44</f>
        <v>0</v>
      </c>
      <c r="AF48" s="162"/>
      <c r="AI48" s="315"/>
      <c r="AJ48" s="106">
        <v>40000</v>
      </c>
      <c r="AK48" s="87"/>
      <c r="AL48" s="106">
        <f>VLOOKUP(Rap1,ottan,2)</f>
        <v>1380</v>
      </c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</row>
    <row r="49" spans="1:59" ht="16.5" thickBot="1">
      <c r="A49" s="296" t="s">
        <v>147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97"/>
      <c r="O49" s="326">
        <f>IF(O47-O48&gt;0,O47-O48,0)</f>
        <v>0</v>
      </c>
      <c r="P49" s="178"/>
      <c r="Q49" s="71" t="s">
        <v>61</v>
      </c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177">
        <f>+AE47-AE48</f>
        <v>0</v>
      </c>
      <c r="AF49" s="178"/>
      <c r="AI49" s="315"/>
      <c r="AJ49" s="106">
        <v>80000</v>
      </c>
      <c r="AK49" s="87"/>
      <c r="AL49" s="106">
        <v>0</v>
      </c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</row>
    <row r="50" spans="1:59" ht="16.5" thickBot="1">
      <c r="A50" s="190" t="s">
        <v>146</v>
      </c>
      <c r="B50" s="190"/>
      <c r="C50" s="190"/>
      <c r="D50" s="190"/>
      <c r="E50" s="191" t="str">
        <f>IF(E17&gt;0,VLOOKUP(ReddNetto,Aliquote,3),Vuota1)</f>
        <v>        </v>
      </c>
      <c r="F50" s="191"/>
      <c r="G50" s="152"/>
      <c r="H50" s="152"/>
      <c r="I50" s="152"/>
      <c r="J50" s="152"/>
      <c r="K50" s="323" t="s">
        <v>131</v>
      </c>
      <c r="L50" s="323"/>
      <c r="M50" s="323"/>
      <c r="N50" s="323"/>
      <c r="O50" s="324">
        <f>+O49</f>
        <v>0</v>
      </c>
      <c r="P50" s="325"/>
      <c r="Q50" s="72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73"/>
      <c r="AI50" s="315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</row>
    <row r="51" spans="17:59" ht="12.75">
      <c r="Q51" s="57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62"/>
      <c r="AI51" s="315"/>
      <c r="AJ51" s="137">
        <v>0</v>
      </c>
      <c r="AK51" s="138"/>
      <c r="AL51" s="115">
        <v>0</v>
      </c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</row>
    <row r="52" spans="17:59" ht="13.5">
      <c r="Q52" s="168" t="s">
        <v>21</v>
      </c>
      <c r="R52" s="169"/>
      <c r="S52" s="169"/>
      <c r="T52" s="153"/>
      <c r="U52" s="163" t="s">
        <v>22</v>
      </c>
      <c r="V52" s="154"/>
      <c r="W52" s="164"/>
      <c r="X52" s="163" t="s">
        <v>23</v>
      </c>
      <c r="Y52" s="154"/>
      <c r="Z52" s="164"/>
      <c r="AA52" s="163" t="s">
        <v>24</v>
      </c>
      <c r="AB52" s="164"/>
      <c r="AC52" s="52" t="s">
        <v>25</v>
      </c>
      <c r="AD52" s="163" t="s">
        <v>26</v>
      </c>
      <c r="AE52" s="164"/>
      <c r="AF52" s="62"/>
      <c r="AI52" s="315"/>
      <c r="AJ52" s="139">
        <v>29000.01</v>
      </c>
      <c r="AK52" s="140"/>
      <c r="AL52" s="116">
        <v>10</v>
      </c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</row>
    <row r="53" spans="17:59" ht="12.75">
      <c r="Q53" s="163" t="s">
        <v>27</v>
      </c>
      <c r="R53" s="154"/>
      <c r="S53" s="154"/>
      <c r="T53" s="164"/>
      <c r="U53" s="53"/>
      <c r="V53" s="2">
        <v>1.4</v>
      </c>
      <c r="W53" s="53"/>
      <c r="X53" s="175">
        <f>+ReddNetto</f>
        <v>0</v>
      </c>
      <c r="Y53" s="219"/>
      <c r="Z53" s="176"/>
      <c r="AA53" s="175">
        <f>ROUND(X53*V53%,2)</f>
        <v>0</v>
      </c>
      <c r="AB53" s="176"/>
      <c r="AC53" s="2">
        <v>10</v>
      </c>
      <c r="AD53" s="175">
        <f>ROUND(AA53/AC53,2)</f>
        <v>0</v>
      </c>
      <c r="AE53" s="176"/>
      <c r="AF53" s="62"/>
      <c r="AI53" s="315"/>
      <c r="AJ53" s="139">
        <v>29200.01</v>
      </c>
      <c r="AK53" s="140"/>
      <c r="AL53" s="116">
        <v>20</v>
      </c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</row>
    <row r="54" spans="17:59" ht="12.75">
      <c r="Q54" s="163" t="s">
        <v>28</v>
      </c>
      <c r="R54" s="154"/>
      <c r="S54" s="154"/>
      <c r="T54" s="164"/>
      <c r="U54" s="53"/>
      <c r="V54" s="2">
        <v>0.4</v>
      </c>
      <c r="W54" s="53"/>
      <c r="X54" s="175">
        <f>+ReddNetto</f>
        <v>0</v>
      </c>
      <c r="Y54" s="219"/>
      <c r="Z54" s="176"/>
      <c r="AA54" s="175">
        <f>ROUND(X54*V54%,2)</f>
        <v>0</v>
      </c>
      <c r="AB54" s="176"/>
      <c r="AC54" s="52" t="s">
        <v>25</v>
      </c>
      <c r="AD54" s="163" t="s">
        <v>26</v>
      </c>
      <c r="AE54" s="164"/>
      <c r="AF54" s="62"/>
      <c r="AI54" s="315"/>
      <c r="AJ54" s="139">
        <v>34700.01</v>
      </c>
      <c r="AK54" s="140"/>
      <c r="AL54" s="116">
        <v>30</v>
      </c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</row>
    <row r="55" spans="17:59" ht="12.75">
      <c r="Q55" s="282" t="s">
        <v>87</v>
      </c>
      <c r="R55" s="282"/>
      <c r="S55" s="84">
        <v>16</v>
      </c>
      <c r="T55" s="282" t="s">
        <v>88</v>
      </c>
      <c r="U55" s="282"/>
      <c r="V55" s="282"/>
      <c r="W55" s="282"/>
      <c r="X55" s="283" t="s">
        <v>89</v>
      </c>
      <c r="Y55" s="283"/>
      <c r="Z55" s="50" t="s">
        <v>79</v>
      </c>
      <c r="AA55" s="51"/>
      <c r="AB55" s="39">
        <f>ROUND(AA54*30%,2)</f>
        <v>0</v>
      </c>
      <c r="AC55" s="2">
        <v>10</v>
      </c>
      <c r="AD55" s="175">
        <f>ROUND(AB55/AC55,2)</f>
        <v>0</v>
      </c>
      <c r="AE55" s="176"/>
      <c r="AF55" s="62"/>
      <c r="AI55" s="315"/>
      <c r="AJ55" s="139">
        <v>35000.01</v>
      </c>
      <c r="AK55" s="140"/>
      <c r="AL55" s="116">
        <v>20</v>
      </c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</row>
    <row r="56" spans="17:59" ht="12.75">
      <c r="Q56" s="57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62"/>
      <c r="AI56" s="315"/>
      <c r="AJ56" s="139">
        <v>35100.01</v>
      </c>
      <c r="AK56" s="140"/>
      <c r="AL56" s="116">
        <v>10</v>
      </c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</row>
    <row r="57" spans="17:59" ht="12.75" customHeight="1" thickBot="1">
      <c r="Q57" s="57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62"/>
      <c r="AI57" s="315"/>
      <c r="AJ57" s="141">
        <v>35200.01</v>
      </c>
      <c r="AK57" s="142"/>
      <c r="AL57" s="117">
        <v>0</v>
      </c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</row>
    <row r="58" spans="17:59" ht="12.75">
      <c r="Q58" s="74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</row>
    <row r="59" spans="35:39" ht="12.75">
      <c r="AI59" t="s">
        <v>46</v>
      </c>
      <c r="AJ59" s="19" t="s">
        <v>47</v>
      </c>
      <c r="AK59" s="171" t="s">
        <v>52</v>
      </c>
      <c r="AL59" s="18" t="s">
        <v>48</v>
      </c>
      <c r="AM59" s="18" t="s">
        <v>53</v>
      </c>
    </row>
    <row r="60" spans="36:39" ht="12.75">
      <c r="AJ60" s="86">
        <v>95000</v>
      </c>
      <c r="AK60" s="171"/>
      <c r="AL60" s="106">
        <v>15000</v>
      </c>
      <c r="AM60" s="106">
        <f>IF(AK61&gt;1,ROUND((AK61-1)*AL60,2)+AJ60,AJ60)</f>
        <v>95000</v>
      </c>
    </row>
    <row r="61" spans="36:41" ht="12.75">
      <c r="AJ61" s="18" t="s">
        <v>55</v>
      </c>
      <c r="AK61" s="87">
        <f>+N_Fgl</f>
        <v>0</v>
      </c>
      <c r="AL61" s="18" t="s">
        <v>54</v>
      </c>
      <c r="AM61" s="18" t="s">
        <v>45</v>
      </c>
      <c r="AN61" s="18"/>
      <c r="AO61" s="18" t="s">
        <v>41</v>
      </c>
    </row>
    <row r="62" spans="35:44" ht="12.75">
      <c r="AI62" t="s">
        <v>51</v>
      </c>
      <c r="AJ62" s="106">
        <f>IF(Som_fg&gt;3,1000,800)</f>
        <v>800</v>
      </c>
      <c r="AL62" s="106">
        <f>ROUND(fgl*VLOOKUP($AO$62,IndRapp,2),2)</f>
        <v>0</v>
      </c>
      <c r="AM62" s="112">
        <v>0</v>
      </c>
      <c r="AN62" s="77">
        <v>0</v>
      </c>
      <c r="AO62" s="83">
        <f>ROUND((ImFisFin-Redd_Detraz)/ImFisFin,6)</f>
        <v>1</v>
      </c>
      <c r="AQ62" s="87">
        <f>+dsfig</f>
        <v>0</v>
      </c>
      <c r="AR62" s="87">
        <f>+AQ62</f>
        <v>0</v>
      </c>
    </row>
    <row r="63" spans="35:44" ht="12.75">
      <c r="AI63" t="s">
        <v>49</v>
      </c>
      <c r="AJ63" s="106">
        <f>IF(Som_fg&gt;3,1100,900)</f>
        <v>900</v>
      </c>
      <c r="AL63" s="106">
        <f>ROUND(AJ63*VLOOKUP($AO$62,IndRapp,2),2)</f>
        <v>0</v>
      </c>
      <c r="AM63" s="113">
        <v>0.0001</v>
      </c>
      <c r="AN63" s="77">
        <f>+AO62</f>
        <v>1</v>
      </c>
      <c r="AQ63" s="87">
        <f>+dsfg3</f>
        <v>0</v>
      </c>
      <c r="AR63" s="87">
        <f>+AQ63</f>
        <v>0</v>
      </c>
    </row>
    <row r="64" spans="35:44" ht="12.75">
      <c r="AI64" t="s">
        <v>50</v>
      </c>
      <c r="AJ64" s="106">
        <v>220</v>
      </c>
      <c r="AL64" s="106">
        <f>ROUND(fglh*VLOOKUP($AO$62,IndRapp,2),2)</f>
        <v>0</v>
      </c>
      <c r="AM64" s="110">
        <v>1</v>
      </c>
      <c r="AN64" s="77">
        <v>0</v>
      </c>
      <c r="AQ64" s="87">
        <f>+dsfhc</f>
        <v>0</v>
      </c>
      <c r="AR64" s="87">
        <f>+AQ64</f>
        <v>0</v>
      </c>
    </row>
    <row r="65" spans="38:40" ht="12.75">
      <c r="AL65" s="85"/>
      <c r="AM65" s="110">
        <v>10</v>
      </c>
      <c r="AN65" s="77">
        <f>+AO62</f>
        <v>1</v>
      </c>
    </row>
    <row r="66" spans="35:38" ht="12.75">
      <c r="AI66" t="s">
        <v>57</v>
      </c>
      <c r="AJ66" s="87">
        <v>750</v>
      </c>
      <c r="AL66" s="106">
        <f>ROUND(Altri*VLOOKUP(AO67,Rapp_Altri,2),4)</f>
        <v>0</v>
      </c>
    </row>
    <row r="67" ht="12.75">
      <c r="AO67" s="83">
        <f>TRUNC((80000-Redd_Detraz)/80000,6)</f>
        <v>1</v>
      </c>
    </row>
    <row r="68" spans="35:41" ht="12.75">
      <c r="AI68" t="s">
        <v>72</v>
      </c>
      <c r="AL68" t="s">
        <v>41</v>
      </c>
      <c r="AN68" s="131">
        <v>0</v>
      </c>
      <c r="AO68" s="87">
        <v>0</v>
      </c>
    </row>
    <row r="69" spans="35:41" ht="12.75">
      <c r="AI69" s="106">
        <v>1</v>
      </c>
      <c r="AJ69" s="106">
        <v>1840</v>
      </c>
      <c r="AL69" s="83">
        <f>IF(ROUND((15000-Redd_Detraz)/7000,6)&gt;0,ROUND((15000-Redd_Detraz)/7000,6),0)</f>
        <v>2.142857</v>
      </c>
      <c r="AN69" s="132">
        <v>0.0001</v>
      </c>
      <c r="AO69" s="133">
        <f>+AO67</f>
        <v>1</v>
      </c>
    </row>
    <row r="70" spans="35:41" ht="12.75">
      <c r="AI70" s="106">
        <v>8000.01</v>
      </c>
      <c r="AJ70" s="106">
        <f>1338+ROUND(502*AL69,2)</f>
        <v>2413.71</v>
      </c>
      <c r="AL70">
        <f>ROUND((55000-Redd_Detraz)/40000,6)</f>
        <v>1.375</v>
      </c>
      <c r="AN70" s="107">
        <v>1</v>
      </c>
      <c r="AO70" s="87">
        <v>0</v>
      </c>
    </row>
    <row r="71" spans="35:41" ht="12.75">
      <c r="AI71" s="106">
        <v>15000.01</v>
      </c>
      <c r="AJ71" s="106">
        <f>ROUND(1338*AL70,2)</f>
        <v>1839.75</v>
      </c>
      <c r="AN71" s="107">
        <v>10</v>
      </c>
      <c r="AO71" s="133">
        <f>+AO67</f>
        <v>1</v>
      </c>
    </row>
    <row r="72" spans="35:41" ht="12.75">
      <c r="AI72" s="106">
        <v>55000.01</v>
      </c>
      <c r="AJ72" s="106">
        <v>0</v>
      </c>
      <c r="AN72" s="12"/>
      <c r="AO72" s="83"/>
    </row>
    <row r="73" spans="35:36" ht="12.75">
      <c r="AI73" s="106">
        <v>100000000</v>
      </c>
      <c r="AJ73" s="106">
        <v>0</v>
      </c>
    </row>
    <row r="75" spans="35:36" ht="12.75">
      <c r="AI75" s="108">
        <v>0</v>
      </c>
      <c r="AJ75" s="87">
        <v>0</v>
      </c>
    </row>
    <row r="76" spans="35:36" ht="12.75">
      <c r="AI76" s="108">
        <v>23000.01</v>
      </c>
      <c r="AJ76" s="87">
        <v>10</v>
      </c>
    </row>
    <row r="77" spans="35:36" ht="12.75">
      <c r="AI77" s="108">
        <v>24000.01</v>
      </c>
      <c r="AJ77" s="87">
        <v>20</v>
      </c>
    </row>
    <row r="78" spans="35:36" ht="12.75">
      <c r="AI78" s="108">
        <v>25000.01</v>
      </c>
      <c r="AJ78" s="87">
        <v>30</v>
      </c>
    </row>
    <row r="79" spans="35:36" ht="12.75">
      <c r="AI79" s="108">
        <v>26000.01</v>
      </c>
      <c r="AJ79" s="87">
        <v>40</v>
      </c>
    </row>
    <row r="80" spans="35:36" ht="12.75">
      <c r="AI80" s="108">
        <v>27700.01</v>
      </c>
      <c r="AJ80" s="87">
        <v>25</v>
      </c>
    </row>
    <row r="81" spans="1:36" ht="12.75">
      <c r="A81" s="4"/>
      <c r="AI81" s="108">
        <v>28000.01</v>
      </c>
      <c r="AJ81" s="87">
        <v>0</v>
      </c>
    </row>
    <row r="111" ht="12.75">
      <c r="A111" s="4" t="s">
        <v>100</v>
      </c>
    </row>
    <row r="124" ht="12.75">
      <c r="A124" s="90"/>
    </row>
  </sheetData>
  <sheetProtection password="BE24" sheet="1" objects="1" scenarios="1" selectLockedCells="1"/>
  <mergeCells count="164">
    <mergeCell ref="A48:N48"/>
    <mergeCell ref="A49:N49"/>
    <mergeCell ref="A50:D50"/>
    <mergeCell ref="E50:F50"/>
    <mergeCell ref="K50:N50"/>
    <mergeCell ref="A47:N47"/>
    <mergeCell ref="Q16:T16"/>
    <mergeCell ref="U16:W16"/>
    <mergeCell ref="H17:K17"/>
    <mergeCell ref="H16:K16"/>
    <mergeCell ref="A16:D16"/>
    <mergeCell ref="E16:G16"/>
    <mergeCell ref="H18:K18"/>
    <mergeCell ref="A17:D17"/>
    <mergeCell ref="AD5:AF5"/>
    <mergeCell ref="AU30:AW38"/>
    <mergeCell ref="A15:D15"/>
    <mergeCell ref="A14:D14"/>
    <mergeCell ref="U14:W14"/>
    <mergeCell ref="E17:G17"/>
    <mergeCell ref="A20:P20"/>
    <mergeCell ref="X16:AA16"/>
    <mergeCell ref="A21:C21"/>
    <mergeCell ref="AC16:AD16"/>
    <mergeCell ref="Z4:AA4"/>
    <mergeCell ref="V6:Z6"/>
    <mergeCell ref="AB6:AC6"/>
    <mergeCell ref="T6:U6"/>
    <mergeCell ref="X15:AA15"/>
    <mergeCell ref="U9:W9"/>
    <mergeCell ref="X7:AB7"/>
    <mergeCell ref="X9:AA9"/>
    <mergeCell ref="AU1:AW2"/>
    <mergeCell ref="AU21:AW25"/>
    <mergeCell ref="AU4:AW4"/>
    <mergeCell ref="AU5:AW5"/>
    <mergeCell ref="AU3:AW3"/>
    <mergeCell ref="T55:W55"/>
    <mergeCell ref="X55:Y55"/>
    <mergeCell ref="X14:AA14"/>
    <mergeCell ref="U13:W13"/>
    <mergeCell ref="X13:AA13"/>
    <mergeCell ref="X17:AA17"/>
    <mergeCell ref="X10:AA10"/>
    <mergeCell ref="X54:Z54"/>
    <mergeCell ref="U17:W17"/>
    <mergeCell ref="Q41:AB41"/>
    <mergeCell ref="Q38:AB38"/>
    <mergeCell ref="Q37:AB37"/>
    <mergeCell ref="Q33:S33"/>
    <mergeCell ref="Q21:S21"/>
    <mergeCell ref="Q43:V43"/>
    <mergeCell ref="Q39:AB39"/>
    <mergeCell ref="U8:W8"/>
    <mergeCell ref="X8:AA8"/>
    <mergeCell ref="Q36:AF36"/>
    <mergeCell ref="AF25:AF27"/>
    <mergeCell ref="R24:T24"/>
    <mergeCell ref="U24:W24"/>
    <mergeCell ref="X24:Z24"/>
    <mergeCell ref="Q35:AF35"/>
    <mergeCell ref="AC25:AE27"/>
    <mergeCell ref="AA33:AE34"/>
    <mergeCell ref="AD52:AE52"/>
    <mergeCell ref="AE48:AF48"/>
    <mergeCell ref="AE46:AF46"/>
    <mergeCell ref="Y43:AB43"/>
    <mergeCell ref="AA44:AD44"/>
    <mergeCell ref="X52:Z52"/>
    <mergeCell ref="AD55:AE55"/>
    <mergeCell ref="AD54:AE54"/>
    <mergeCell ref="Q42:AF42"/>
    <mergeCell ref="Q52:T52"/>
    <mergeCell ref="AA53:AB53"/>
    <mergeCell ref="X53:Z53"/>
    <mergeCell ref="U52:W52"/>
    <mergeCell ref="Q53:T53"/>
    <mergeCell ref="Q54:T54"/>
    <mergeCell ref="Q55:R55"/>
    <mergeCell ref="Q3:AF3"/>
    <mergeCell ref="T5:Y5"/>
    <mergeCell ref="Z5:AB5"/>
    <mergeCell ref="AK59:AK60"/>
    <mergeCell ref="Q40:AF40"/>
    <mergeCell ref="AA54:AB54"/>
    <mergeCell ref="AE49:AF49"/>
    <mergeCell ref="AE47:AF47"/>
    <mergeCell ref="AA52:AB52"/>
    <mergeCell ref="AD53:AE53"/>
    <mergeCell ref="AH36:AH37"/>
    <mergeCell ref="AH40:AH41"/>
    <mergeCell ref="AI1:AL1"/>
    <mergeCell ref="AI12:AM12"/>
    <mergeCell ref="AI19:AI57"/>
    <mergeCell ref="AJ19:AJ37"/>
    <mergeCell ref="AJ39:AJ42"/>
    <mergeCell ref="Q1:AF1"/>
    <mergeCell ref="Q2:AF2"/>
    <mergeCell ref="AF33:AF34"/>
    <mergeCell ref="U15:W15"/>
    <mergeCell ref="Q7:W7"/>
    <mergeCell ref="Q6:S6"/>
    <mergeCell ref="Q20:AF20"/>
    <mergeCell ref="U10:W10"/>
    <mergeCell ref="U11:W11"/>
    <mergeCell ref="U12:W12"/>
    <mergeCell ref="N5:P5"/>
    <mergeCell ref="A1:P1"/>
    <mergeCell ref="A2:P2"/>
    <mergeCell ref="A3:P3"/>
    <mergeCell ref="J4:K4"/>
    <mergeCell ref="B4:G4"/>
    <mergeCell ref="E8:G8"/>
    <mergeCell ref="H8:K8"/>
    <mergeCell ref="D5:I5"/>
    <mergeCell ref="J5:L5"/>
    <mergeCell ref="C6:G6"/>
    <mergeCell ref="A7:G7"/>
    <mergeCell ref="H7:L7"/>
    <mergeCell ref="A6:B6"/>
    <mergeCell ref="I6:K6"/>
    <mergeCell ref="E13:G13"/>
    <mergeCell ref="E14:G14"/>
    <mergeCell ref="E15:G15"/>
    <mergeCell ref="H15:K15"/>
    <mergeCell ref="H14:K14"/>
    <mergeCell ref="H13:K13"/>
    <mergeCell ref="A33:C33"/>
    <mergeCell ref="K33:O34"/>
    <mergeCell ref="P33:P34"/>
    <mergeCell ref="M28:P29"/>
    <mergeCell ref="M25:O27"/>
    <mergeCell ref="B24:D24"/>
    <mergeCell ref="E24:G24"/>
    <mergeCell ref="P25:P27"/>
    <mergeCell ref="A43:F43"/>
    <mergeCell ref="I43:L43"/>
    <mergeCell ref="K44:N44"/>
    <mergeCell ref="O46:P46"/>
    <mergeCell ref="A46:N46"/>
    <mergeCell ref="M6:P6"/>
    <mergeCell ref="O47:P47"/>
    <mergeCell ref="A39:L39"/>
    <mergeCell ref="A40:P40"/>
    <mergeCell ref="A41:L41"/>
    <mergeCell ref="A42:P42"/>
    <mergeCell ref="A35:P35"/>
    <mergeCell ref="A36:P36"/>
    <mergeCell ref="E11:G11"/>
    <mergeCell ref="E12:G12"/>
    <mergeCell ref="E9:G9"/>
    <mergeCell ref="H9:K9"/>
    <mergeCell ref="E10:G10"/>
    <mergeCell ref="H10:K10"/>
    <mergeCell ref="O50:P50"/>
    <mergeCell ref="X12:AA12"/>
    <mergeCell ref="H11:K11"/>
    <mergeCell ref="X11:AA11"/>
    <mergeCell ref="O48:P48"/>
    <mergeCell ref="O49:P49"/>
    <mergeCell ref="A37:L37"/>
    <mergeCell ref="A38:L38"/>
    <mergeCell ref="H24:J24"/>
    <mergeCell ref="H12:K12"/>
  </mergeCells>
  <conditionalFormatting sqref="Z27">
    <cfRule type="expression" priority="1" dxfId="0" stopIfTrue="1">
      <formula>$T$23&gt;2</formula>
    </cfRule>
  </conditionalFormatting>
  <conditionalFormatting sqref="Z28">
    <cfRule type="expression" priority="2" dxfId="0" stopIfTrue="1">
      <formula>$T$23&gt;3</formula>
    </cfRule>
  </conditionalFormatting>
  <conditionalFormatting sqref="Z29">
    <cfRule type="expression" priority="3" dxfId="0" stopIfTrue="1">
      <formula>$T$23&gt;4</formula>
    </cfRule>
  </conditionalFormatting>
  <conditionalFormatting sqref="Z30">
    <cfRule type="expression" priority="4" dxfId="0" stopIfTrue="1">
      <formula>$T$23&gt;5</formula>
    </cfRule>
  </conditionalFormatting>
  <conditionalFormatting sqref="Z31">
    <cfRule type="expression" priority="5" dxfId="0" stopIfTrue="1">
      <formula>$T$23&gt;6</formula>
    </cfRule>
  </conditionalFormatting>
  <conditionalFormatting sqref="AB25">
    <cfRule type="expression" priority="6" dxfId="1" stopIfTrue="1">
      <formula>$T$23&gt;0</formula>
    </cfRule>
  </conditionalFormatting>
  <conditionalFormatting sqref="AB26">
    <cfRule type="expression" priority="7" dxfId="1" stopIfTrue="1">
      <formula>$T$23&gt;1</formula>
    </cfRule>
  </conditionalFormatting>
  <conditionalFormatting sqref="AB27">
    <cfRule type="expression" priority="8" dxfId="1" stopIfTrue="1">
      <formula>$T$23&gt;2</formula>
    </cfRule>
  </conditionalFormatting>
  <conditionalFormatting sqref="AB28">
    <cfRule type="expression" priority="9" dxfId="1" stopIfTrue="1">
      <formula>$T$23&gt;3</formula>
    </cfRule>
  </conditionalFormatting>
  <conditionalFormatting sqref="AB29">
    <cfRule type="expression" priority="10" dxfId="1" stopIfTrue="1">
      <formula>$T$23&gt;4</formula>
    </cfRule>
  </conditionalFormatting>
  <conditionalFormatting sqref="AB30">
    <cfRule type="expression" priority="11" dxfId="1" stopIfTrue="1">
      <formula>$T$23&gt;5</formula>
    </cfRule>
  </conditionalFormatting>
  <conditionalFormatting sqref="AB31">
    <cfRule type="expression" priority="12" dxfId="1" stopIfTrue="1">
      <formula>$T$23&gt;6</formula>
    </cfRule>
  </conditionalFormatting>
  <conditionalFormatting sqref="Q26">
    <cfRule type="expression" priority="13" dxfId="2" stopIfTrue="1">
      <formula>$T$23&gt;1</formula>
    </cfRule>
  </conditionalFormatting>
  <conditionalFormatting sqref="Q25 T25 W25 Z25 G25 D25">
    <cfRule type="expression" priority="14" dxfId="2" stopIfTrue="1">
      <formula>$T$23&gt;0</formula>
    </cfRule>
  </conditionalFormatting>
  <conditionalFormatting sqref="R25 J25:K25">
    <cfRule type="expression" priority="15" dxfId="3" stopIfTrue="1">
      <formula>$T$23&gt;0</formula>
    </cfRule>
  </conditionalFormatting>
  <conditionalFormatting sqref="U25 X25 E25 H25">
    <cfRule type="expression" priority="16" dxfId="4" stopIfTrue="1">
      <formula>$T$23&gt;0</formula>
    </cfRule>
  </conditionalFormatting>
  <conditionalFormatting sqref="Y21">
    <cfRule type="expression" priority="17" dxfId="5" stopIfTrue="1">
      <formula>$T$21="si"</formula>
    </cfRule>
  </conditionalFormatting>
  <conditionalFormatting sqref="AD23 AA25 C25 F25 I25 V25:V31 S25:S31 Y25:Y31">
    <cfRule type="expression" priority="18" dxfId="5" stopIfTrue="1">
      <formula>$T$23&gt;0</formula>
    </cfRule>
  </conditionalFormatting>
  <conditionalFormatting sqref="AF23">
    <cfRule type="expression" priority="19" dxfId="5" stopIfTrue="1">
      <formula>$AD$23&gt;0</formula>
    </cfRule>
  </conditionalFormatting>
  <conditionalFormatting sqref="F26 C26 I26 AA26">
    <cfRule type="expression" priority="20" dxfId="5" stopIfTrue="1">
      <formula>$T$23&gt;1</formula>
    </cfRule>
  </conditionalFormatting>
  <conditionalFormatting sqref="F27 C27 I27 AA27">
    <cfRule type="expression" priority="21" dxfId="5" stopIfTrue="1">
      <formula>$T$23&gt;2</formula>
    </cfRule>
  </conditionalFormatting>
  <conditionalFormatting sqref="F28 C28 I28 AA28">
    <cfRule type="expression" priority="22" dxfId="5" stopIfTrue="1">
      <formula>$T$23&gt;3</formula>
    </cfRule>
  </conditionalFormatting>
  <conditionalFormatting sqref="F29 C29 I29 AA29">
    <cfRule type="expression" priority="23" dxfId="5" stopIfTrue="1">
      <formula>$T$23&gt;4</formula>
    </cfRule>
  </conditionalFormatting>
  <conditionalFormatting sqref="AA30">
    <cfRule type="expression" priority="24" dxfId="5" stopIfTrue="1">
      <formula>$T$23&gt;5</formula>
    </cfRule>
  </conditionalFormatting>
  <conditionalFormatting sqref="AA31">
    <cfRule type="expression" priority="25" dxfId="5" stopIfTrue="1">
      <formula>$T$23&gt;6</formula>
    </cfRule>
  </conditionalFormatting>
  <conditionalFormatting sqref="Y34">
    <cfRule type="expression" priority="26" dxfId="5" stopIfTrue="1">
      <formula>$T$33="si"</formula>
    </cfRule>
  </conditionalFormatting>
  <conditionalFormatting sqref="Y33 AF33:AF34 P33:P34">
    <cfRule type="expression" priority="27" dxfId="5" stopIfTrue="1">
      <formula>$T$33&gt;0</formula>
    </cfRule>
  </conditionalFormatting>
  <conditionalFormatting sqref="AA33:AE34 K33:O34">
    <cfRule type="expression" priority="28" dxfId="1" stopIfTrue="1">
      <formula>$T$33&gt;0</formula>
    </cfRule>
  </conditionalFormatting>
  <conditionalFormatting sqref="R26 T26:U26 W26:X26 Z26 G26:H26 D26:E26 J26:K26">
    <cfRule type="expression" priority="29" dxfId="3" stopIfTrue="1">
      <formula>$T$23&gt;1</formula>
    </cfRule>
  </conditionalFormatting>
  <conditionalFormatting sqref="R27 T27:U27 W27:X27 G27:H27 D27:E27 J27:K27">
    <cfRule type="expression" priority="30" dxfId="3" stopIfTrue="1">
      <formula>$T$23&gt;2</formula>
    </cfRule>
  </conditionalFormatting>
  <conditionalFormatting sqref="Q27">
    <cfRule type="expression" priority="31" dxfId="2" stopIfTrue="1">
      <formula>$T$23&gt;2</formula>
    </cfRule>
  </conditionalFormatting>
  <conditionalFormatting sqref="Q28">
    <cfRule type="expression" priority="32" dxfId="2" stopIfTrue="1">
      <formula>$T$23&gt;3</formula>
    </cfRule>
  </conditionalFormatting>
  <conditionalFormatting sqref="R28 T28:U28 W28:X28 G28:H28 D28:E28 J28:K28">
    <cfRule type="expression" priority="33" dxfId="3" stopIfTrue="1">
      <formula>$T$23&gt;3</formula>
    </cfRule>
  </conditionalFormatting>
  <conditionalFormatting sqref="Q29">
    <cfRule type="expression" priority="34" dxfId="2" stopIfTrue="1">
      <formula>$T$23&gt;4</formula>
    </cfRule>
  </conditionalFormatting>
  <conditionalFormatting sqref="R29 T29:U29 W29:X29 G29:H29 D29:E29 J29:K29">
    <cfRule type="expression" priority="35" dxfId="3" stopIfTrue="1">
      <formula>$T$23&gt;4</formula>
    </cfRule>
  </conditionalFormatting>
  <conditionalFormatting sqref="Q30">
    <cfRule type="expression" priority="36" dxfId="2" stopIfTrue="1">
      <formula>$T$23&gt;5</formula>
    </cfRule>
  </conditionalFormatting>
  <conditionalFormatting sqref="R30 T30:U30 W30:X30">
    <cfRule type="expression" priority="37" dxfId="3" stopIfTrue="1">
      <formula>$T$23&gt;5</formula>
    </cfRule>
  </conditionalFormatting>
  <conditionalFormatting sqref="Q31">
    <cfRule type="expression" priority="38" dxfId="2" stopIfTrue="1">
      <formula>$T$23&gt;6</formula>
    </cfRule>
  </conditionalFormatting>
  <conditionalFormatting sqref="R31 T31:U31 W31:X31">
    <cfRule type="expression" priority="39" dxfId="3" stopIfTrue="1">
      <formula>$T$23&gt;6</formula>
    </cfRule>
  </conditionalFormatting>
  <conditionalFormatting sqref="L25">
    <cfRule type="expression" priority="40" dxfId="1" stopIfTrue="1">
      <formula>$D$23&gt;0</formula>
    </cfRule>
  </conditionalFormatting>
  <conditionalFormatting sqref="N23">
    <cfRule type="expression" priority="41" dxfId="5" stopIfTrue="1">
      <formula>$D$23&gt;0</formula>
    </cfRule>
  </conditionalFormatting>
  <conditionalFormatting sqref="C30 F30 I30">
    <cfRule type="expression" priority="42" dxfId="5" stopIfTrue="1">
      <formula>$D$23&gt;5</formula>
    </cfRule>
  </conditionalFormatting>
  <conditionalFormatting sqref="C31 F31 I31">
    <cfRule type="expression" priority="43" dxfId="5" stopIfTrue="1">
      <formula>$D$23&gt;6</formula>
    </cfRule>
  </conditionalFormatting>
  <conditionalFormatting sqref="I34">
    <cfRule type="expression" priority="44" dxfId="5" stopIfTrue="1">
      <formula>$D$33="si"</formula>
    </cfRule>
  </conditionalFormatting>
  <conditionalFormatting sqref="A30">
    <cfRule type="expression" priority="45" dxfId="2" stopIfTrue="1">
      <formula>$D$23&gt;5</formula>
    </cfRule>
  </conditionalFormatting>
  <conditionalFormatting sqref="G30:H30 D30:E30 B30 J30:K30">
    <cfRule type="expression" priority="46" dxfId="3" stopIfTrue="1">
      <formula>$D$23&gt;5</formula>
    </cfRule>
  </conditionalFormatting>
  <conditionalFormatting sqref="A31">
    <cfRule type="expression" priority="47" dxfId="2" stopIfTrue="1">
      <formula>$D$23&gt;6</formula>
    </cfRule>
  </conditionalFormatting>
  <conditionalFormatting sqref="G31:H31 D31:E31 B31 J31:K31">
    <cfRule type="expression" priority="48" dxfId="3" stopIfTrue="1">
      <formula>$D$23&gt;6</formula>
    </cfRule>
  </conditionalFormatting>
  <conditionalFormatting sqref="A26">
    <cfRule type="expression" priority="49" dxfId="2" stopIfTrue="1">
      <formula>$D$23&gt;1</formula>
    </cfRule>
  </conditionalFormatting>
  <conditionalFormatting sqref="A25">
    <cfRule type="expression" priority="50" dxfId="2" stopIfTrue="1">
      <formula>$D$23&gt;0</formula>
    </cfRule>
  </conditionalFormatting>
  <conditionalFormatting sqref="B25">
    <cfRule type="expression" priority="51" dxfId="3" stopIfTrue="1">
      <formula>$D$23&gt;0</formula>
    </cfRule>
  </conditionalFormatting>
  <conditionalFormatting sqref="B26">
    <cfRule type="expression" priority="52" dxfId="3" stopIfTrue="1">
      <formula>$D$23&gt;1</formula>
    </cfRule>
  </conditionalFormatting>
  <conditionalFormatting sqref="B27">
    <cfRule type="expression" priority="53" dxfId="3" stopIfTrue="1">
      <formula>$D$23&gt;2</formula>
    </cfRule>
  </conditionalFormatting>
  <conditionalFormatting sqref="A27">
    <cfRule type="expression" priority="54" dxfId="2" stopIfTrue="1">
      <formula>$D$23&gt;2</formula>
    </cfRule>
  </conditionalFormatting>
  <conditionalFormatting sqref="A28">
    <cfRule type="expression" priority="55" dxfId="2" stopIfTrue="1">
      <formula>$D$23&gt;3</formula>
    </cfRule>
  </conditionalFormatting>
  <conditionalFormatting sqref="B28">
    <cfRule type="expression" priority="56" dxfId="3" stopIfTrue="1">
      <formula>$D$23&gt;3</formula>
    </cfRule>
  </conditionalFormatting>
  <conditionalFormatting sqref="A29">
    <cfRule type="expression" priority="57" dxfId="2" stopIfTrue="1">
      <formula>$D$23&gt;4</formula>
    </cfRule>
  </conditionalFormatting>
  <conditionalFormatting sqref="B29">
    <cfRule type="expression" priority="58" dxfId="3" stopIfTrue="1">
      <formula>$D$23&gt;4</formula>
    </cfRule>
  </conditionalFormatting>
  <conditionalFormatting sqref="L27">
    <cfRule type="expression" priority="59" dxfId="1" stopIfTrue="1">
      <formula>$D$23&gt;2</formula>
    </cfRule>
  </conditionalFormatting>
  <conditionalFormatting sqref="L28">
    <cfRule type="expression" priority="60" dxfId="1" stopIfTrue="1">
      <formula>$D$23&gt;3</formula>
    </cfRule>
  </conditionalFormatting>
  <conditionalFormatting sqref="L29">
    <cfRule type="expression" priority="61" dxfId="1" stopIfTrue="1">
      <formula>$D$23&gt;4</formula>
    </cfRule>
  </conditionalFormatting>
  <conditionalFormatting sqref="L30">
    <cfRule type="expression" priority="62" dxfId="1" stopIfTrue="1">
      <formula>$D$23&gt;5</formula>
    </cfRule>
  </conditionalFormatting>
  <conditionalFormatting sqref="L31">
    <cfRule type="expression" priority="63" dxfId="1" stopIfTrue="1">
      <formula>$D$23&gt;6</formula>
    </cfRule>
  </conditionalFormatting>
  <conditionalFormatting sqref="L26">
    <cfRule type="expression" priority="64" dxfId="1" stopIfTrue="1">
      <formula>$D$23&gt;1</formula>
    </cfRule>
  </conditionalFormatting>
  <printOptions/>
  <pageMargins left="0.1968503937007874" right="0" top="0.984251968503937" bottom="0.5905511811023623" header="0.5118110236220472" footer="0.5118110236220472"/>
  <pageSetup blackAndWhite="1" horizontalDpi="360" verticalDpi="360" orientation="portrait" paperSize="9" scale="9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2"/>
  <dimension ref="A1:BG124"/>
  <sheetViews>
    <sheetView workbookViewId="0" topLeftCell="A1">
      <selection activeCell="E8" sqref="E8:G8"/>
    </sheetView>
  </sheetViews>
  <sheetFormatPr defaultColWidth="9.33203125" defaultRowHeight="12.75"/>
  <cols>
    <col min="1" max="1" width="15.5" style="0" customWidth="1"/>
    <col min="2" max="10" width="4.83203125" style="0" customWidth="1"/>
    <col min="11" max="11" width="11.66015625" style="0" bestFit="1" customWidth="1"/>
    <col min="12" max="13" width="11.83203125" style="0" customWidth="1"/>
    <col min="14" max="14" width="4.83203125" style="0" customWidth="1"/>
    <col min="15" max="15" width="12.83203125" style="0" customWidth="1"/>
    <col min="16" max="16" width="9.16015625" style="0" customWidth="1"/>
    <col min="17" max="17" width="15.5" style="0" hidden="1" customWidth="1"/>
    <col min="18" max="26" width="4.83203125" style="0" hidden="1" customWidth="1"/>
    <col min="27" max="27" width="11.66015625" style="0" hidden="1" customWidth="1"/>
    <col min="28" max="29" width="11.83203125" style="0" hidden="1" customWidth="1"/>
    <col min="30" max="30" width="4.83203125" style="0" hidden="1" customWidth="1"/>
    <col min="31" max="31" width="12.83203125" style="0" hidden="1" customWidth="1"/>
    <col min="32" max="32" width="11" style="0" hidden="1" customWidth="1"/>
    <col min="33" max="33" width="5.16015625" style="0" hidden="1" customWidth="1"/>
    <col min="34" max="34" width="10.5" style="0" hidden="1" customWidth="1"/>
    <col min="35" max="35" width="15.16015625" style="0" hidden="1" customWidth="1"/>
    <col min="36" max="36" width="16.83203125" style="0" hidden="1" customWidth="1"/>
    <col min="37" max="37" width="6.66015625" style="0" hidden="1" customWidth="1"/>
    <col min="38" max="38" width="12.83203125" style="0" hidden="1" customWidth="1"/>
    <col min="39" max="39" width="11.5" style="0" hidden="1" customWidth="1"/>
    <col min="40" max="45" width="0" style="0" hidden="1" customWidth="1"/>
    <col min="46" max="46" width="3.66015625" style="0" customWidth="1"/>
    <col min="49" max="49" width="13.66015625" style="0" customWidth="1"/>
  </cols>
  <sheetData>
    <row r="1" spans="1:59" ht="16.5" thickTop="1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3"/>
      <c r="Q1" s="201" t="s">
        <v>0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3"/>
      <c r="AI1" s="185" t="s">
        <v>29</v>
      </c>
      <c r="AJ1" s="185"/>
      <c r="AK1" s="185"/>
      <c r="AL1" s="185"/>
      <c r="AM1" s="135" t="s">
        <v>68</v>
      </c>
      <c r="AT1" s="77"/>
      <c r="AU1" s="247" t="s">
        <v>84</v>
      </c>
      <c r="AV1" s="248"/>
      <c r="AW1" s="249"/>
      <c r="AX1" s="77"/>
      <c r="AY1" s="77"/>
      <c r="AZ1" s="77"/>
      <c r="BA1" s="77"/>
      <c r="BB1" s="77"/>
      <c r="BC1" s="77"/>
      <c r="BD1" s="77"/>
      <c r="BE1" s="77"/>
      <c r="BF1" s="77"/>
      <c r="BG1" s="77"/>
    </row>
    <row r="2" spans="1:59" ht="15.75">
      <c r="A2" s="350" t="str">
        <f>+Gen!A2</f>
        <v>TRIBUNALE DI TERMINI IMERESE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2"/>
      <c r="Q2" s="204" t="s">
        <v>1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6"/>
      <c r="AI2" s="5" t="s">
        <v>30</v>
      </c>
      <c r="AJ2" s="5" t="s">
        <v>31</v>
      </c>
      <c r="AK2" s="6" t="s">
        <v>18</v>
      </c>
      <c r="AL2" s="5" t="s">
        <v>37</v>
      </c>
      <c r="AN2" s="134"/>
      <c r="AT2" s="77"/>
      <c r="AU2" s="250"/>
      <c r="AV2" s="251"/>
      <c r="AW2" s="252"/>
      <c r="AX2" s="77"/>
      <c r="AY2" s="77"/>
      <c r="AZ2" s="77"/>
      <c r="BA2" s="77"/>
      <c r="BB2" s="77"/>
      <c r="BC2" s="77"/>
      <c r="BD2" s="77"/>
      <c r="BE2" s="77"/>
      <c r="BF2" s="77"/>
      <c r="BG2" s="77"/>
    </row>
    <row r="3" spans="1:59" ht="15.75">
      <c r="A3" s="207" t="s">
        <v>110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9"/>
      <c r="Q3" s="207" t="s">
        <v>85</v>
      </c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9"/>
      <c r="AI3" s="7">
        <v>1</v>
      </c>
      <c r="AJ3" s="7">
        <f>+Aliquote!C6</f>
        <v>15000</v>
      </c>
      <c r="AK3" s="8">
        <f>+Aliquote!D6</f>
        <v>0.23</v>
      </c>
      <c r="AL3" s="9"/>
      <c r="AT3" s="77"/>
      <c r="AU3" s="268"/>
      <c r="AV3" s="269"/>
      <c r="AW3" s="270"/>
      <c r="AX3" s="77"/>
      <c r="AY3" s="77"/>
      <c r="AZ3" s="77"/>
      <c r="BA3" s="77"/>
      <c r="BB3" s="77"/>
      <c r="BC3" s="77"/>
      <c r="BD3" s="77"/>
      <c r="BE3" s="77"/>
      <c r="BF3" s="77"/>
      <c r="BG3" s="77"/>
    </row>
    <row r="4" spans="1:59" ht="12.75" customHeight="1">
      <c r="A4" s="150" t="s">
        <v>138</v>
      </c>
      <c r="B4" s="163" t="str">
        <f>IF(Gen!B4&gt;0,Gen!B4,Vuota1)</f>
        <v>        </v>
      </c>
      <c r="C4" s="154"/>
      <c r="D4" s="154"/>
      <c r="E4" s="154"/>
      <c r="F4" s="154"/>
      <c r="G4" s="164"/>
      <c r="H4" s="58"/>
      <c r="I4" s="58"/>
      <c r="J4" s="345" t="s">
        <v>119</v>
      </c>
      <c r="K4" s="346"/>
      <c r="L4" s="149">
        <f>IF(Gen!L4&gt;0,Gen!L4,Vuota1)</f>
        <v>2007</v>
      </c>
      <c r="M4" s="20"/>
      <c r="N4" s="58"/>
      <c r="O4" s="58"/>
      <c r="P4" s="33"/>
      <c r="Q4" s="20"/>
      <c r="R4" s="58"/>
      <c r="S4" s="58"/>
      <c r="T4" s="58"/>
      <c r="U4" s="58"/>
      <c r="V4" s="58"/>
      <c r="W4" s="58"/>
      <c r="X4" s="58"/>
      <c r="Y4" s="58"/>
      <c r="Z4" s="213" t="s">
        <v>2</v>
      </c>
      <c r="AA4" s="213"/>
      <c r="AB4" s="2">
        <v>2007</v>
      </c>
      <c r="AC4" s="20"/>
      <c r="AD4" s="58"/>
      <c r="AE4" s="58"/>
      <c r="AF4" s="33"/>
      <c r="AI4" s="7">
        <f>+AJ3+0.01</f>
        <v>15000.01</v>
      </c>
      <c r="AJ4" s="7">
        <f>+Aliquote!C7</f>
        <v>28000</v>
      </c>
      <c r="AK4" s="8">
        <f>+Aliquote!D7</f>
        <v>0.27</v>
      </c>
      <c r="AL4" s="7">
        <f>ROUND(AI4*AK3,2)</f>
        <v>3450</v>
      </c>
      <c r="AT4" s="77"/>
      <c r="AU4" s="262" t="s">
        <v>81</v>
      </c>
      <c r="AV4" s="263"/>
      <c r="AW4" s="264"/>
      <c r="AX4" s="77"/>
      <c r="AY4" s="77"/>
      <c r="AZ4" s="77"/>
      <c r="BA4" s="77"/>
      <c r="BB4" s="77"/>
      <c r="BC4" s="77"/>
      <c r="BD4" s="77"/>
      <c r="BE4" s="77"/>
      <c r="BF4" s="77"/>
      <c r="BG4" s="77"/>
    </row>
    <row r="5" spans="1:59" ht="16.5" thickBot="1">
      <c r="A5" s="59" t="s">
        <v>3</v>
      </c>
      <c r="B5" s="60"/>
      <c r="C5" s="52" t="str">
        <f>IF(Gen!C5&gt;0,Gen!C5,Vuota1)</f>
        <v>C1</v>
      </c>
      <c r="D5" s="347" t="str">
        <f>IF(Gen!D5&gt;0,Gen!D5,Vuota1)</f>
        <v>        </v>
      </c>
      <c r="E5" s="348" t="e">
        <f>IF(#REF!&gt;0,#REF!,Vuota1)</f>
        <v>#REF!</v>
      </c>
      <c r="F5" s="348" t="e">
        <f>IF(#REF!&gt;0,#REF!,Vuota1)</f>
        <v>#REF!</v>
      </c>
      <c r="G5" s="348" t="e">
        <f>IF(#REF!&gt;0,#REF!,Vuota1)</f>
        <v>#REF!</v>
      </c>
      <c r="H5" s="348" t="e">
        <f>IF(#REF!&gt;0,#REF!,Vuota1)</f>
        <v>#REF!</v>
      </c>
      <c r="I5" s="348" t="e">
        <f>IF(#REF!&gt;0,#REF!,Vuota1)</f>
        <v>#REF!</v>
      </c>
      <c r="J5" s="348" t="str">
        <f>IF(Gen!J5&gt;0,Gen!J5,Vuota1)</f>
        <v>        </v>
      </c>
      <c r="K5" s="348" t="e">
        <f>IF(#REF!&gt;0,#REF!,Vuota1)</f>
        <v>#REF!</v>
      </c>
      <c r="L5" s="349" t="e">
        <f>IF(#REF!&gt;0,#REF!,Vuota1)</f>
        <v>#REF!</v>
      </c>
      <c r="M5" s="61" t="s">
        <v>5</v>
      </c>
      <c r="N5" s="163" t="str">
        <f>IF(Gen!N5&gt;0,Gen!N5,Vuota1)</f>
        <v>        </v>
      </c>
      <c r="O5" s="154" t="e">
        <f>IF(#REF!&gt;0,#REF!,Vuota1)</f>
        <v>#REF!</v>
      </c>
      <c r="P5" s="164" t="e">
        <f>IF(#REF!&gt;0,#REF!,Vuota1)</f>
        <v>#REF!</v>
      </c>
      <c r="Q5" s="59" t="s">
        <v>3</v>
      </c>
      <c r="R5" s="60"/>
      <c r="S5" s="2" t="s">
        <v>4</v>
      </c>
      <c r="T5" s="211"/>
      <c r="U5" s="211"/>
      <c r="V5" s="211"/>
      <c r="W5" s="211"/>
      <c r="X5" s="211"/>
      <c r="Y5" s="211"/>
      <c r="Z5" s="211"/>
      <c r="AA5" s="211"/>
      <c r="AB5" s="313"/>
      <c r="AC5" s="61" t="s">
        <v>5</v>
      </c>
      <c r="AD5" s="214"/>
      <c r="AE5" s="215"/>
      <c r="AF5" s="216"/>
      <c r="AH5" s="21"/>
      <c r="AI5" s="7">
        <f>+AJ4+0.01</f>
        <v>28000.01</v>
      </c>
      <c r="AJ5" s="7">
        <f>+Aliquote!C8</f>
        <v>55000</v>
      </c>
      <c r="AK5" s="8">
        <f>+Aliquote!D8</f>
        <v>0.38</v>
      </c>
      <c r="AL5" s="7">
        <f>ROUND((AI5-AI4)*AK4,2)+AL4</f>
        <v>6960</v>
      </c>
      <c r="AT5" s="77"/>
      <c r="AU5" s="265" t="s">
        <v>82</v>
      </c>
      <c r="AV5" s="266"/>
      <c r="AW5" s="267"/>
      <c r="AX5" s="77"/>
      <c r="AY5" s="77"/>
      <c r="AZ5" s="77"/>
      <c r="BA5" s="77"/>
      <c r="BB5" s="77"/>
      <c r="BC5" s="77"/>
      <c r="BD5" s="77"/>
      <c r="BE5" s="77"/>
      <c r="BF5" s="77"/>
      <c r="BG5" s="77"/>
    </row>
    <row r="6" spans="1:59" ht="12.75" customHeight="1" thickTop="1">
      <c r="A6" s="271" t="s">
        <v>6</v>
      </c>
      <c r="B6" s="272"/>
      <c r="C6" s="163" t="str">
        <f>IF(Gen!C6&gt;0,Gen!C6,Vuota1)</f>
        <v>        </v>
      </c>
      <c r="D6" s="213" t="e">
        <f>IF(#REF!&gt;0,#REF!,Vuota1)</f>
        <v>#REF!</v>
      </c>
      <c r="E6" s="213" t="e">
        <f>IF(#REF!&gt;0,#REF!,Vuota1)</f>
        <v>#REF!</v>
      </c>
      <c r="F6" s="213" t="e">
        <f>IF(#REF!&gt;0,#REF!,Vuota1)</f>
        <v>#REF!</v>
      </c>
      <c r="G6" s="359" t="e">
        <f>IF(#REF!&gt;0,#REF!,Vuota1)</f>
        <v>#REF!</v>
      </c>
      <c r="H6" s="60" t="s">
        <v>7</v>
      </c>
      <c r="I6" s="353" t="str">
        <f>IF(Gen!I6&gt;0,Gen!I6,Vuota1)</f>
        <v>        </v>
      </c>
      <c r="J6" s="354" t="e">
        <f>IF(#REF!&gt;0,#REF!,Vuota1)</f>
        <v>#REF!</v>
      </c>
      <c r="K6" s="355" t="e">
        <f>IF(#REF!&gt;0,#REF!,Vuota1)</f>
        <v>#REF!</v>
      </c>
      <c r="L6" s="48" t="s">
        <v>90</v>
      </c>
      <c r="M6" s="356" t="str">
        <f>IF(Gen!M6&gt;0,Gen!M6,Vuota1)</f>
        <v>        </v>
      </c>
      <c r="N6" s="357" t="e">
        <f>IF(#REF!&gt;0,#REF!,Vuota1)</f>
        <v>#REF!</v>
      </c>
      <c r="O6" s="357" t="e">
        <f>IF(#REF!&gt;0,#REF!,Vuota1)</f>
        <v>#REF!</v>
      </c>
      <c r="P6" s="358" t="e">
        <f>IF(#REF!&gt;0,#REF!,Vuota1)</f>
        <v>#REF!</v>
      </c>
      <c r="Q6" s="317"/>
      <c r="R6" s="318"/>
      <c r="S6" s="318"/>
      <c r="T6" s="302" t="s">
        <v>6</v>
      </c>
      <c r="U6" s="302"/>
      <c r="V6" s="214"/>
      <c r="W6" s="215"/>
      <c r="X6" s="215"/>
      <c r="Y6" s="215"/>
      <c r="Z6" s="216"/>
      <c r="AA6" s="60" t="s">
        <v>7</v>
      </c>
      <c r="AB6" s="300"/>
      <c r="AC6" s="301"/>
      <c r="AD6" s="20"/>
      <c r="AE6" s="20"/>
      <c r="AF6" s="62"/>
      <c r="AH6" s="21"/>
      <c r="AI6" s="7">
        <f>+AJ5+0.01</f>
        <v>55000.01</v>
      </c>
      <c r="AJ6" s="7">
        <f>+Aliquote!C9</f>
        <v>75000</v>
      </c>
      <c r="AK6" s="8">
        <f>+Aliquote!D9</f>
        <v>0.41</v>
      </c>
      <c r="AL6" s="7">
        <f>ROUND((AI6-AI5)*AK5,2)+AL5</f>
        <v>17220</v>
      </c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</row>
    <row r="7" spans="1:59" ht="12.75" customHeight="1">
      <c r="A7" s="239" t="s">
        <v>8</v>
      </c>
      <c r="B7" s="240"/>
      <c r="C7" s="240"/>
      <c r="D7" s="240"/>
      <c r="E7" s="240"/>
      <c r="F7" s="240"/>
      <c r="G7" s="240"/>
      <c r="H7" s="158" t="s">
        <v>9</v>
      </c>
      <c r="I7" s="158"/>
      <c r="J7" s="158"/>
      <c r="K7" s="158"/>
      <c r="L7" s="158"/>
      <c r="M7" s="20"/>
      <c r="N7" s="20"/>
      <c r="O7" s="20"/>
      <c r="P7" s="62"/>
      <c r="Q7" s="239" t="s">
        <v>8</v>
      </c>
      <c r="R7" s="240"/>
      <c r="S7" s="240"/>
      <c r="T7" s="240"/>
      <c r="U7" s="240"/>
      <c r="V7" s="240"/>
      <c r="W7" s="240"/>
      <c r="X7" s="158" t="s">
        <v>9</v>
      </c>
      <c r="Y7" s="158"/>
      <c r="Z7" s="158"/>
      <c r="AA7" s="158"/>
      <c r="AB7" s="158"/>
      <c r="AC7" s="20"/>
      <c r="AD7" s="20"/>
      <c r="AE7" s="20"/>
      <c r="AF7" s="62"/>
      <c r="AH7" s="21"/>
      <c r="AI7" s="7">
        <f>+AJ6+0.01</f>
        <v>75000.01</v>
      </c>
      <c r="AJ7" s="7">
        <v>1000000</v>
      </c>
      <c r="AK7" s="8">
        <f>+Aliquote!D10</f>
        <v>0.43</v>
      </c>
      <c r="AL7" s="7">
        <f>ROUND((AI7-AI6)*AK6,2)+AL6</f>
        <v>25420</v>
      </c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</row>
    <row r="8" spans="1:59" ht="12.75">
      <c r="A8" s="27" t="s">
        <v>78</v>
      </c>
      <c r="B8" s="29"/>
      <c r="C8" s="29"/>
      <c r="D8" s="23"/>
      <c r="E8" s="195"/>
      <c r="F8" s="196"/>
      <c r="G8" s="197"/>
      <c r="H8" s="273" t="s">
        <v>10</v>
      </c>
      <c r="I8" s="274"/>
      <c r="J8" s="274"/>
      <c r="K8" s="275"/>
      <c r="L8" s="1"/>
      <c r="M8" s="20"/>
      <c r="N8" s="20"/>
      <c r="O8" s="20"/>
      <c r="P8" s="62"/>
      <c r="Q8" s="27" t="s">
        <v>78</v>
      </c>
      <c r="R8" s="29"/>
      <c r="S8" s="29"/>
      <c r="T8" s="23"/>
      <c r="U8" s="195">
        <f aca="true" t="shared" si="0" ref="U8:U15">ROUND(E8*13,5)</f>
        <v>0</v>
      </c>
      <c r="V8" s="196"/>
      <c r="W8" s="197"/>
      <c r="X8" s="273" t="s">
        <v>10</v>
      </c>
      <c r="Y8" s="274"/>
      <c r="Z8" s="274"/>
      <c r="AA8" s="275"/>
      <c r="AB8" s="1">
        <f aca="true" t="shared" si="1" ref="AB8:AB17">ROUND(L8*13,5)</f>
        <v>0</v>
      </c>
      <c r="AC8" s="20"/>
      <c r="AD8" s="20"/>
      <c r="AE8" s="20"/>
      <c r="AF8" s="62"/>
      <c r="AH8" s="21"/>
      <c r="AI8" s="7">
        <f>+AJ7+0.01</f>
        <v>1000000.01</v>
      </c>
      <c r="AJ8" s="10">
        <v>2000000</v>
      </c>
      <c r="AK8" s="11">
        <f>+AK7</f>
        <v>0.43</v>
      </c>
      <c r="AL8" s="10">
        <f>ROUND((AI8-AI7)*AK7,2)+AL7</f>
        <v>423170</v>
      </c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</row>
    <row r="9" spans="1:59" ht="12.75">
      <c r="A9" s="27" t="s">
        <v>11</v>
      </c>
      <c r="B9" s="29"/>
      <c r="C9" s="29"/>
      <c r="D9" s="23"/>
      <c r="E9" s="195"/>
      <c r="F9" s="196"/>
      <c r="G9" s="197"/>
      <c r="H9" s="198" t="s">
        <v>111</v>
      </c>
      <c r="I9" s="199"/>
      <c r="J9" s="199"/>
      <c r="K9" s="200"/>
      <c r="L9" s="1"/>
      <c r="M9" s="20"/>
      <c r="N9" s="20"/>
      <c r="O9" s="20"/>
      <c r="P9" s="62"/>
      <c r="Q9" s="27" t="s">
        <v>11</v>
      </c>
      <c r="R9" s="29"/>
      <c r="S9" s="29"/>
      <c r="T9" s="23"/>
      <c r="U9" s="195">
        <f t="shared" si="0"/>
        <v>0</v>
      </c>
      <c r="V9" s="196"/>
      <c r="W9" s="197"/>
      <c r="X9" s="198" t="s">
        <v>111</v>
      </c>
      <c r="Y9" s="199"/>
      <c r="Z9" s="199"/>
      <c r="AA9" s="200"/>
      <c r="AB9" s="1">
        <f t="shared" si="1"/>
        <v>0</v>
      </c>
      <c r="AC9" s="20"/>
      <c r="AD9" s="20"/>
      <c r="AE9" s="25" t="s">
        <v>117</v>
      </c>
      <c r="AF9" s="62"/>
      <c r="AH9" s="22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</row>
    <row r="10" spans="1:59" ht="12.75">
      <c r="A10" s="27" t="s">
        <v>12</v>
      </c>
      <c r="B10" s="29"/>
      <c r="C10" s="29"/>
      <c r="D10" s="23"/>
      <c r="E10" s="195"/>
      <c r="F10" s="196"/>
      <c r="G10" s="197"/>
      <c r="H10" s="198" t="s">
        <v>112</v>
      </c>
      <c r="I10" s="199"/>
      <c r="J10" s="199"/>
      <c r="K10" s="200"/>
      <c r="L10" s="1"/>
      <c r="M10" s="20"/>
      <c r="N10" s="20"/>
      <c r="O10" s="20"/>
      <c r="P10" s="62"/>
      <c r="Q10" s="27" t="s">
        <v>12</v>
      </c>
      <c r="R10" s="29"/>
      <c r="S10" s="29"/>
      <c r="T10" s="23"/>
      <c r="U10" s="195">
        <f t="shared" si="0"/>
        <v>0</v>
      </c>
      <c r="V10" s="196"/>
      <c r="W10" s="197"/>
      <c r="X10" s="198" t="s">
        <v>112</v>
      </c>
      <c r="Y10" s="199"/>
      <c r="Z10" s="199"/>
      <c r="AA10" s="200"/>
      <c r="AB10" s="1">
        <f t="shared" si="1"/>
        <v>0</v>
      </c>
      <c r="AC10" s="20"/>
      <c r="AD10" s="20"/>
      <c r="AE10" s="145">
        <f>+Lordo-U12</f>
        <v>0</v>
      </c>
      <c r="AF10" s="62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</row>
    <row r="11" spans="1:59" ht="12.75">
      <c r="A11" s="27" t="s">
        <v>14</v>
      </c>
      <c r="B11" s="29"/>
      <c r="C11" s="29"/>
      <c r="D11" s="29"/>
      <c r="E11" s="195"/>
      <c r="F11" s="196"/>
      <c r="G11" s="197"/>
      <c r="H11" s="198" t="s">
        <v>113</v>
      </c>
      <c r="I11" s="199"/>
      <c r="J11" s="199"/>
      <c r="K11" s="200"/>
      <c r="L11" s="143">
        <f>ROUND((E10+E11)*(Aliquote!H9),2)</f>
        <v>0</v>
      </c>
      <c r="M11" s="20"/>
      <c r="N11" s="20"/>
      <c r="O11" s="20"/>
      <c r="P11" s="62"/>
      <c r="Q11" s="27" t="s">
        <v>14</v>
      </c>
      <c r="R11" s="29"/>
      <c r="S11" s="29"/>
      <c r="T11" s="29"/>
      <c r="U11" s="195">
        <f t="shared" si="0"/>
        <v>0</v>
      </c>
      <c r="V11" s="196"/>
      <c r="W11" s="197"/>
      <c r="X11" s="198" t="s">
        <v>113</v>
      </c>
      <c r="Y11" s="199"/>
      <c r="Z11" s="199"/>
      <c r="AA11" s="200"/>
      <c r="AB11" s="143">
        <f t="shared" si="1"/>
        <v>0</v>
      </c>
      <c r="AC11" s="20"/>
      <c r="AD11" s="20"/>
      <c r="AE11" s="20"/>
      <c r="AF11" s="62"/>
      <c r="AH11" s="85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</row>
    <row r="12" spans="1:59" ht="12.75">
      <c r="A12" s="27"/>
      <c r="B12" s="29"/>
      <c r="C12" s="29"/>
      <c r="D12" s="23"/>
      <c r="E12" s="404"/>
      <c r="F12" s="405"/>
      <c r="G12" s="406"/>
      <c r="H12" s="198" t="s">
        <v>114</v>
      </c>
      <c r="I12" s="199"/>
      <c r="J12" s="199"/>
      <c r="K12" s="200"/>
      <c r="L12" s="144">
        <f>ROUND((E10+E11)*(Aliquote!I9),2)</f>
        <v>0</v>
      </c>
      <c r="M12" s="20"/>
      <c r="N12" s="20"/>
      <c r="O12" s="20"/>
      <c r="P12" s="62"/>
      <c r="Q12" s="27" t="s">
        <v>16</v>
      </c>
      <c r="R12" s="29"/>
      <c r="S12" s="29"/>
      <c r="T12" s="23"/>
      <c r="U12" s="195">
        <f t="shared" si="0"/>
        <v>0</v>
      </c>
      <c r="V12" s="196"/>
      <c r="W12" s="197"/>
      <c r="X12" s="198" t="s">
        <v>114</v>
      </c>
      <c r="Y12" s="199"/>
      <c r="Z12" s="199"/>
      <c r="AA12" s="200"/>
      <c r="AB12" s="143">
        <f t="shared" si="1"/>
        <v>0</v>
      </c>
      <c r="AC12" s="91"/>
      <c r="AD12" s="20"/>
      <c r="AE12" s="20"/>
      <c r="AF12" s="62"/>
      <c r="AH12" s="85"/>
      <c r="AI12" s="186" t="s">
        <v>32</v>
      </c>
      <c r="AJ12" s="186"/>
      <c r="AK12" s="186"/>
      <c r="AL12" s="186"/>
      <c r="AM12" s="186"/>
      <c r="AN12" t="s">
        <v>44</v>
      </c>
      <c r="AO12" t="s">
        <v>43</v>
      </c>
      <c r="AT12" s="77"/>
      <c r="AU12" s="78"/>
      <c r="AV12" s="78"/>
      <c r="AW12" s="78"/>
      <c r="AX12" s="77"/>
      <c r="AY12" s="77"/>
      <c r="AZ12" s="77"/>
      <c r="BA12" s="77"/>
      <c r="BB12" s="77"/>
      <c r="BC12" s="77"/>
      <c r="BD12" s="77"/>
      <c r="BE12" s="77"/>
      <c r="BF12" s="77"/>
      <c r="BG12" s="77"/>
    </row>
    <row r="13" spans="1:59" ht="12.75">
      <c r="A13" s="27" t="s">
        <v>17</v>
      </c>
      <c r="B13" s="29"/>
      <c r="C13" s="29"/>
      <c r="D13" s="23"/>
      <c r="E13" s="195"/>
      <c r="F13" s="196"/>
      <c r="G13" s="197"/>
      <c r="H13" s="198"/>
      <c r="I13" s="199"/>
      <c r="J13" s="199"/>
      <c r="K13" s="200"/>
      <c r="L13" s="143"/>
      <c r="M13" s="20"/>
      <c r="N13" s="20"/>
      <c r="O13" s="20"/>
      <c r="P13" s="62"/>
      <c r="Q13" s="27" t="s">
        <v>17</v>
      </c>
      <c r="R13" s="29"/>
      <c r="S13" s="29"/>
      <c r="T13" s="23"/>
      <c r="U13" s="195">
        <f t="shared" si="0"/>
        <v>0</v>
      </c>
      <c r="V13" s="196"/>
      <c r="W13" s="197"/>
      <c r="X13" s="198" t="s">
        <v>115</v>
      </c>
      <c r="Y13" s="199"/>
      <c r="Z13" s="199"/>
      <c r="AA13" s="200"/>
      <c r="AB13" s="143">
        <f t="shared" si="1"/>
        <v>0</v>
      </c>
      <c r="AC13" s="20"/>
      <c r="AD13" s="20"/>
      <c r="AE13" s="91"/>
      <c r="AF13" s="62"/>
      <c r="AH13" s="85"/>
      <c r="AI13" s="4" t="s">
        <v>33</v>
      </c>
      <c r="AJ13" s="107">
        <v>80000</v>
      </c>
      <c r="AK13" s="4"/>
      <c r="AL13" s="107">
        <v>800</v>
      </c>
      <c r="AM13" s="107">
        <v>690</v>
      </c>
      <c r="AN13" s="87">
        <v>110</v>
      </c>
      <c r="AO13" s="87">
        <f>ROUND(Redd_Detraz/AJ19,4)</f>
        <v>0</v>
      </c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</row>
    <row r="14" spans="1:59" ht="12.75">
      <c r="A14" s="192" t="s">
        <v>108</v>
      </c>
      <c r="B14" s="193"/>
      <c r="C14" s="193"/>
      <c r="D14" s="194"/>
      <c r="E14" s="195"/>
      <c r="F14" s="196"/>
      <c r="G14" s="197"/>
      <c r="H14" s="198" t="s">
        <v>116</v>
      </c>
      <c r="I14" s="199"/>
      <c r="J14" s="199"/>
      <c r="K14" s="200"/>
      <c r="L14" s="143">
        <f>ROUND(E13*80%*(Aliquote!$G$9)+E13*(Aliquote!$H$9+Aliquote!$I$9),5)</f>
        <v>0</v>
      </c>
      <c r="M14" s="20"/>
      <c r="N14" s="20"/>
      <c r="O14" s="20"/>
      <c r="P14" s="62"/>
      <c r="Q14" s="26" t="s">
        <v>13</v>
      </c>
      <c r="R14" s="30"/>
      <c r="S14" s="30"/>
      <c r="T14" s="24"/>
      <c r="U14" s="195">
        <f t="shared" si="0"/>
        <v>0</v>
      </c>
      <c r="V14" s="196"/>
      <c r="W14" s="197"/>
      <c r="X14" s="198" t="s">
        <v>116</v>
      </c>
      <c r="Y14" s="199"/>
      <c r="Z14" s="199"/>
      <c r="AA14" s="200"/>
      <c r="AB14" s="143">
        <f t="shared" si="1"/>
        <v>0</v>
      </c>
      <c r="AC14" s="20"/>
      <c r="AD14" s="20"/>
      <c r="AE14" s="20"/>
      <c r="AF14" s="62"/>
      <c r="AH14" s="85"/>
      <c r="AI14" s="4" t="s">
        <v>34</v>
      </c>
      <c r="AJ14" s="107">
        <v>95000</v>
      </c>
      <c r="AK14" s="4"/>
      <c r="AL14" s="107">
        <v>800</v>
      </c>
      <c r="AO14" s="77">
        <f>ROUND((Coniuge-Redd_Detraz)/AJ38,4)</f>
        <v>2</v>
      </c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</row>
    <row r="15" spans="1:59" ht="12.75">
      <c r="A15" s="192" t="s">
        <v>109</v>
      </c>
      <c r="B15" s="193"/>
      <c r="C15" s="193"/>
      <c r="D15" s="194"/>
      <c r="E15" s="195"/>
      <c r="F15" s="196"/>
      <c r="G15" s="197"/>
      <c r="H15" s="192" t="s">
        <v>149</v>
      </c>
      <c r="I15" s="193"/>
      <c r="J15" s="193"/>
      <c r="K15" s="194"/>
      <c r="L15" s="143">
        <f>ROUND(E14*80%*(Aliquote!$G$9)+E14*(Aliquote!$H$9+Aliquote!$I$9),5)</f>
        <v>0</v>
      </c>
      <c r="M15" s="20"/>
      <c r="N15" s="20"/>
      <c r="O15" s="20"/>
      <c r="P15" s="62"/>
      <c r="Q15" s="26" t="s">
        <v>13</v>
      </c>
      <c r="R15" s="30"/>
      <c r="S15" s="30"/>
      <c r="T15" s="24"/>
      <c r="U15" s="195">
        <f t="shared" si="0"/>
        <v>0</v>
      </c>
      <c r="V15" s="196"/>
      <c r="W15" s="197"/>
      <c r="X15" s="192" t="s">
        <v>13</v>
      </c>
      <c r="Y15" s="193"/>
      <c r="Z15" s="193"/>
      <c r="AA15" s="194"/>
      <c r="AB15" s="143">
        <f t="shared" si="1"/>
        <v>0</v>
      </c>
      <c r="AC15" s="20"/>
      <c r="AD15" s="20"/>
      <c r="AE15" s="25" t="s">
        <v>93</v>
      </c>
      <c r="AF15" s="62"/>
      <c r="AH15" s="85"/>
      <c r="AI15" s="4" t="s">
        <v>35</v>
      </c>
      <c r="AJ15" s="107">
        <v>55000</v>
      </c>
      <c r="AK15" s="4"/>
      <c r="AL15" s="107">
        <v>1338</v>
      </c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</row>
    <row r="16" spans="1:59" ht="12.75">
      <c r="A16" s="192" t="s">
        <v>148</v>
      </c>
      <c r="B16" s="193"/>
      <c r="C16" s="193"/>
      <c r="D16" s="194"/>
      <c r="E16" s="195"/>
      <c r="F16" s="196"/>
      <c r="G16" s="197"/>
      <c r="H16" s="192" t="s">
        <v>150</v>
      </c>
      <c r="I16" s="193"/>
      <c r="J16" s="193"/>
      <c r="K16" s="194"/>
      <c r="L16" s="144">
        <f>ROUND(E15*(Aliquote!$H$9+Aliquote!$I$9),5)</f>
        <v>0</v>
      </c>
      <c r="M16" s="20"/>
      <c r="N16" s="20"/>
      <c r="O16" s="20"/>
      <c r="P16" s="62"/>
      <c r="Q16" s="192" t="s">
        <v>57</v>
      </c>
      <c r="R16" s="193"/>
      <c r="S16" s="193"/>
      <c r="T16" s="194"/>
      <c r="U16" s="195"/>
      <c r="V16" s="196"/>
      <c r="W16" s="197"/>
      <c r="X16" s="192" t="s">
        <v>13</v>
      </c>
      <c r="Y16" s="193"/>
      <c r="Z16" s="193"/>
      <c r="AA16" s="194"/>
      <c r="AB16" s="143">
        <f t="shared" si="1"/>
        <v>0</v>
      </c>
      <c r="AC16" s="298"/>
      <c r="AD16" s="299"/>
      <c r="AE16" s="146">
        <f>IF(O46&gt;E12,ROUND((O46-E12)*12,2),0)</f>
        <v>0</v>
      </c>
      <c r="AF16" s="62"/>
      <c r="AH16" s="85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</row>
    <row r="17" spans="1:59" ht="12.75">
      <c r="A17" s="163" t="s">
        <v>15</v>
      </c>
      <c r="B17" s="154"/>
      <c r="C17" s="154"/>
      <c r="D17" s="164"/>
      <c r="E17" s="175">
        <f>SUM(E8:G16)</f>
        <v>0</v>
      </c>
      <c r="F17" s="219"/>
      <c r="G17" s="176"/>
      <c r="H17" s="192" t="s">
        <v>148</v>
      </c>
      <c r="I17" s="193"/>
      <c r="J17" s="193"/>
      <c r="K17" s="194"/>
      <c r="L17" s="189"/>
      <c r="M17" s="20"/>
      <c r="N17" s="20"/>
      <c r="O17" s="20"/>
      <c r="P17" s="62"/>
      <c r="Q17" s="31" t="s">
        <v>15</v>
      </c>
      <c r="R17" s="28"/>
      <c r="S17" s="28"/>
      <c r="T17" s="32"/>
      <c r="U17" s="175">
        <f>SUM(U8:W16)</f>
        <v>0</v>
      </c>
      <c r="V17" s="219"/>
      <c r="W17" s="176"/>
      <c r="X17" s="192" t="s">
        <v>57</v>
      </c>
      <c r="Y17" s="193"/>
      <c r="Z17" s="193"/>
      <c r="AA17" s="194"/>
      <c r="AB17" s="143">
        <f t="shared" si="1"/>
        <v>0</v>
      </c>
      <c r="AC17" s="160"/>
      <c r="AD17" s="160"/>
      <c r="AE17" s="147"/>
      <c r="AF17" s="62"/>
      <c r="AH17" s="85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</row>
    <row r="18" spans="1:59" ht="13.5" thickBot="1">
      <c r="A18" s="57"/>
      <c r="B18" s="20"/>
      <c r="C18" s="20"/>
      <c r="D18" s="20"/>
      <c r="E18" s="20"/>
      <c r="F18" s="20"/>
      <c r="G18" s="20"/>
      <c r="H18" s="163" t="s">
        <v>15</v>
      </c>
      <c r="I18" s="154"/>
      <c r="J18" s="154"/>
      <c r="K18" s="164"/>
      <c r="L18" s="3">
        <f>SUM(L8:L17)</f>
        <v>0</v>
      </c>
      <c r="M18" s="20"/>
      <c r="N18" s="20"/>
      <c r="O18" s="20"/>
      <c r="P18" s="62"/>
      <c r="Q18" s="57"/>
      <c r="R18" s="20"/>
      <c r="S18" s="20"/>
      <c r="T18" s="20"/>
      <c r="U18" s="20"/>
      <c r="V18" s="20"/>
      <c r="W18" s="20"/>
      <c r="X18" s="31" t="s">
        <v>15</v>
      </c>
      <c r="Y18" s="28"/>
      <c r="Z18" s="28"/>
      <c r="AA18" s="32"/>
      <c r="AB18" s="3">
        <f>SUM(AB8:AB17)</f>
        <v>0</v>
      </c>
      <c r="AC18" s="136"/>
      <c r="AD18" s="136" t="s">
        <v>139</v>
      </c>
      <c r="AE18" s="147"/>
      <c r="AF18" s="151">
        <f>ROUND(E12*12,5)</f>
        <v>0</v>
      </c>
      <c r="AH18" s="85"/>
      <c r="AI18" s="4" t="s">
        <v>38</v>
      </c>
      <c r="AJ18" s="110" t="s">
        <v>39</v>
      </c>
      <c r="AK18" s="77"/>
      <c r="AL18" s="111" t="s">
        <v>45</v>
      </c>
      <c r="AM18" s="111" t="s">
        <v>40</v>
      </c>
      <c r="AO18">
        <f>IF(AP18&gt;0,1,0)</f>
        <v>0</v>
      </c>
      <c r="AP18" s="87"/>
      <c r="AQ18" s="87">
        <v>700</v>
      </c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</row>
    <row r="19" spans="1:59" ht="13.5" customHeight="1" hidden="1" thickBot="1">
      <c r="A19" s="79"/>
      <c r="B19" s="25"/>
      <c r="C19" s="25"/>
      <c r="D19" s="25"/>
      <c r="E19" s="25"/>
      <c r="F19" s="25"/>
      <c r="G19" s="25"/>
      <c r="H19" s="20"/>
      <c r="I19" s="20"/>
      <c r="J19" s="20"/>
      <c r="K19" s="20"/>
      <c r="L19" s="20"/>
      <c r="M19" s="20"/>
      <c r="N19" s="20"/>
      <c r="O19" s="20"/>
      <c r="P19" s="62"/>
      <c r="Q19" s="79"/>
      <c r="R19" s="25"/>
      <c r="S19" s="25"/>
      <c r="T19" s="25"/>
      <c r="U19" s="25"/>
      <c r="V19" s="25"/>
      <c r="W19" s="25"/>
      <c r="X19" s="20"/>
      <c r="Y19" s="20"/>
      <c r="Z19" s="20"/>
      <c r="AA19" s="20"/>
      <c r="AB19" s="20"/>
      <c r="AC19" s="136"/>
      <c r="AD19" s="20"/>
      <c r="AE19" s="148"/>
      <c r="AF19" s="62"/>
      <c r="AI19" s="315" t="s">
        <v>33</v>
      </c>
      <c r="AJ19" s="316">
        <v>15000</v>
      </c>
      <c r="AK19" s="77"/>
      <c r="AL19" s="118">
        <v>0</v>
      </c>
      <c r="AM19" s="127">
        <v>0</v>
      </c>
      <c r="AO19">
        <f>IF(AP19&gt;0,1,0)</f>
        <v>0</v>
      </c>
      <c r="AP19" s="87"/>
      <c r="AQ19" s="87">
        <v>500</v>
      </c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</row>
    <row r="20" spans="1:59" ht="15.75">
      <c r="A20" s="241" t="s">
        <v>66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3"/>
      <c r="Q20" s="241" t="s">
        <v>66</v>
      </c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3"/>
      <c r="AI20" s="315"/>
      <c r="AJ20" s="316"/>
      <c r="AK20" s="77"/>
      <c r="AL20" s="128"/>
      <c r="AM20" s="129"/>
      <c r="AP20" s="87"/>
      <c r="AQ20" s="8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</row>
    <row r="21" spans="1:59" ht="12.75">
      <c r="A21" s="289" t="s">
        <v>33</v>
      </c>
      <c r="B21" s="289"/>
      <c r="C21" s="289"/>
      <c r="D21" s="2"/>
      <c r="E21" s="25"/>
      <c r="F21" s="63"/>
      <c r="G21" s="63"/>
      <c r="H21" s="63"/>
      <c r="I21" s="45"/>
      <c r="J21" s="20"/>
      <c r="K21" s="20"/>
      <c r="L21" s="20"/>
      <c r="M21" s="20"/>
      <c r="N21" s="20"/>
      <c r="O21" s="20"/>
      <c r="P21" s="62"/>
      <c r="Q21" s="289" t="s">
        <v>33</v>
      </c>
      <c r="R21" s="289"/>
      <c r="S21" s="289"/>
      <c r="T21" s="2">
        <f>+D21</f>
        <v>0</v>
      </c>
      <c r="U21" s="25"/>
      <c r="V21" s="63" t="str">
        <f>IF(CNG="Si","Mesi a carico",Vuota1)</f>
        <v>        </v>
      </c>
      <c r="W21" s="63"/>
      <c r="X21" s="63"/>
      <c r="Y21" s="45">
        <v>12</v>
      </c>
      <c r="Z21" s="20"/>
      <c r="AA21" s="20"/>
      <c r="AB21" s="20"/>
      <c r="AC21" s="20"/>
      <c r="AD21" s="20"/>
      <c r="AE21" s="20"/>
      <c r="AF21" s="62"/>
      <c r="AI21" s="315"/>
      <c r="AJ21" s="316"/>
      <c r="AK21" s="77"/>
      <c r="AL21" s="128"/>
      <c r="AM21" s="129"/>
      <c r="AP21" s="87"/>
      <c r="AQ21" s="87"/>
      <c r="AT21" s="77"/>
      <c r="AU21" s="303" t="s">
        <v>83</v>
      </c>
      <c r="AV21" s="304"/>
      <c r="AW21" s="305"/>
      <c r="AX21" s="77"/>
      <c r="AY21" s="77"/>
      <c r="AZ21" s="77"/>
      <c r="BA21" s="77"/>
      <c r="BB21" s="77"/>
      <c r="BC21" s="77"/>
      <c r="BD21" s="77"/>
      <c r="BE21" s="77"/>
      <c r="BF21" s="77"/>
      <c r="BG21" s="77"/>
    </row>
    <row r="22" spans="1:59" ht="12.75">
      <c r="A22" s="64"/>
      <c r="B22" s="63"/>
      <c r="C22" s="48"/>
      <c r="D22" s="20"/>
      <c r="E22" s="25"/>
      <c r="F22" s="63"/>
      <c r="G22" s="63"/>
      <c r="H22" s="63"/>
      <c r="I22" s="20"/>
      <c r="J22" s="20"/>
      <c r="K22" s="20"/>
      <c r="L22" s="20"/>
      <c r="M22" s="20"/>
      <c r="N22" s="20"/>
      <c r="O22" s="20"/>
      <c r="P22" s="62"/>
      <c r="Q22" s="64"/>
      <c r="R22" s="63"/>
      <c r="S22" s="48"/>
      <c r="T22" s="20"/>
      <c r="U22" s="25"/>
      <c r="V22" s="63"/>
      <c r="W22" s="63"/>
      <c r="X22" s="63"/>
      <c r="Y22" s="20"/>
      <c r="Z22" s="20"/>
      <c r="AA22" s="20"/>
      <c r="AB22" s="20"/>
      <c r="AC22" s="20"/>
      <c r="AD22" s="20"/>
      <c r="AE22" s="20"/>
      <c r="AF22" s="62"/>
      <c r="AI22" s="315"/>
      <c r="AJ22" s="316"/>
      <c r="AK22" s="77"/>
      <c r="AL22" s="128"/>
      <c r="AM22" s="129"/>
      <c r="AP22" s="87"/>
      <c r="AQ22" s="87"/>
      <c r="AT22" s="77"/>
      <c r="AU22" s="306"/>
      <c r="AV22" s="257"/>
      <c r="AW22" s="307"/>
      <c r="AX22" s="77"/>
      <c r="AY22" s="77"/>
      <c r="AZ22" s="77"/>
      <c r="BA22" s="77"/>
      <c r="BB22" s="77"/>
      <c r="BC22" s="77"/>
      <c r="BD22" s="77"/>
      <c r="BE22" s="77"/>
      <c r="BF22" s="77"/>
      <c r="BG22" s="77"/>
    </row>
    <row r="23" spans="1:59" ht="12.75">
      <c r="A23" s="54" t="s">
        <v>67</v>
      </c>
      <c r="B23" s="55"/>
      <c r="C23" s="56"/>
      <c r="D23" s="49"/>
      <c r="E23" s="20"/>
      <c r="F23" s="63" t="str">
        <f>IF(N_Fgl&gt;0,"Se il 1° figlio è in assenza del coniuge barrare la casella &gt;&gt;&gt;&gt;",Vuota1)</f>
        <v>        </v>
      </c>
      <c r="G23" s="63"/>
      <c r="H23" s="63"/>
      <c r="I23" s="20"/>
      <c r="J23" s="25"/>
      <c r="K23" s="20"/>
      <c r="L23" s="20"/>
      <c r="M23" s="20"/>
      <c r="N23" s="43"/>
      <c r="O23" s="63"/>
      <c r="P23" s="65"/>
      <c r="Q23" s="54" t="s">
        <v>67</v>
      </c>
      <c r="R23" s="55"/>
      <c r="S23" s="56"/>
      <c r="T23" s="49">
        <f>+D23</f>
        <v>0</v>
      </c>
      <c r="U23" s="20"/>
      <c r="V23" s="63" t="str">
        <f>IF(N_Fgl&gt;0,"Se il 1° figlio è in assenza delconiuge barrare la casella &gt;&gt;&gt;&gt;",Vuota1)</f>
        <v>        </v>
      </c>
      <c r="W23" s="63"/>
      <c r="X23" s="63"/>
      <c r="Y23" s="20"/>
      <c r="Z23" s="25"/>
      <c r="AA23" s="20"/>
      <c r="AB23" s="20"/>
      <c r="AC23" s="20"/>
      <c r="AD23" s="44">
        <f>+N23</f>
        <v>0</v>
      </c>
      <c r="AE23" s="63" t="str">
        <f>IF(AD23&gt;0,"Mesi a carico",Vuota1)</f>
        <v>        </v>
      </c>
      <c r="AF23" s="65"/>
      <c r="AI23" s="315"/>
      <c r="AJ23" s="316"/>
      <c r="AK23" s="77"/>
      <c r="AL23" s="128"/>
      <c r="AM23" s="129"/>
      <c r="AP23" s="87"/>
      <c r="AQ23" s="87"/>
      <c r="AT23" s="77"/>
      <c r="AU23" s="306"/>
      <c r="AV23" s="257"/>
      <c r="AW23" s="307"/>
      <c r="AX23" s="77"/>
      <c r="AY23" s="77"/>
      <c r="AZ23" s="77"/>
      <c r="BA23" s="77"/>
      <c r="BB23" s="77"/>
      <c r="BC23" s="77"/>
      <c r="BD23" s="77"/>
      <c r="BE23" s="77"/>
      <c r="BF23" s="77"/>
      <c r="BG23" s="77"/>
    </row>
    <row r="24" spans="1:59" ht="12.75" customHeight="1">
      <c r="A24" s="47"/>
      <c r="B24" s="239" t="s">
        <v>64</v>
      </c>
      <c r="C24" s="240"/>
      <c r="D24" s="293"/>
      <c r="E24" s="294" t="s">
        <v>65</v>
      </c>
      <c r="F24" s="295"/>
      <c r="G24" s="293"/>
      <c r="H24" s="294" t="s">
        <v>59</v>
      </c>
      <c r="I24" s="295"/>
      <c r="J24" s="293"/>
      <c r="K24" s="48"/>
      <c r="L24" s="63"/>
      <c r="M24" s="20"/>
      <c r="N24" s="20"/>
      <c r="O24" s="20"/>
      <c r="P24" s="62"/>
      <c r="Q24" s="47"/>
      <c r="R24" s="239" t="s">
        <v>64</v>
      </c>
      <c r="S24" s="240"/>
      <c r="T24" s="293"/>
      <c r="U24" s="294" t="s">
        <v>65</v>
      </c>
      <c r="V24" s="295"/>
      <c r="W24" s="293"/>
      <c r="X24" s="294" t="s">
        <v>59</v>
      </c>
      <c r="Y24" s="295"/>
      <c r="Z24" s="293"/>
      <c r="AA24" s="42" t="s">
        <v>80</v>
      </c>
      <c r="AB24" s="63"/>
      <c r="AC24" s="20"/>
      <c r="AD24" s="20"/>
      <c r="AE24" s="20"/>
      <c r="AF24" s="62"/>
      <c r="AI24" s="315"/>
      <c r="AJ24" s="316"/>
      <c r="AK24" s="77"/>
      <c r="AL24" s="128"/>
      <c r="AM24" s="129"/>
      <c r="AP24" s="87"/>
      <c r="AQ24" s="87"/>
      <c r="AT24" s="77"/>
      <c r="AU24" s="306"/>
      <c r="AV24" s="257"/>
      <c r="AW24" s="307"/>
      <c r="AX24" s="77"/>
      <c r="AY24" s="77"/>
      <c r="AZ24" s="77"/>
      <c r="BA24" s="77"/>
      <c r="BB24" s="77"/>
      <c r="BC24" s="77"/>
      <c r="BD24" s="77"/>
      <c r="BE24" s="77"/>
      <c r="BF24" s="77"/>
      <c r="BG24" s="77"/>
    </row>
    <row r="25" spans="1:59" ht="12.75" customHeight="1">
      <c r="A25" s="64" t="str">
        <f>IF(N_Fgl&gt;0,"1° figlio",Vuota1)</f>
        <v>        </v>
      </c>
      <c r="B25" s="63"/>
      <c r="C25" s="43"/>
      <c r="D25" s="63"/>
      <c r="E25" s="63"/>
      <c r="F25" s="43"/>
      <c r="G25" s="63"/>
      <c r="H25" s="63"/>
      <c r="I25" s="43"/>
      <c r="J25" s="63"/>
      <c r="K25" s="63"/>
      <c r="L25" s="66" t="str">
        <f>IF($D$23&gt;0,ROUND(AB25/12,2),Vuota1)</f>
        <v>        </v>
      </c>
      <c r="M25" s="231" t="s">
        <v>69</v>
      </c>
      <c r="N25" s="232"/>
      <c r="O25" s="233"/>
      <c r="P25" s="244">
        <v>1</v>
      </c>
      <c r="Q25" s="64" t="str">
        <f>IF(N_Fgl&gt;0,"1° figlio",Vuota1)</f>
        <v>        </v>
      </c>
      <c r="R25" s="63"/>
      <c r="S25" s="43">
        <f aca="true" t="shared" si="2" ref="S25:S31">+C25</f>
        <v>0</v>
      </c>
      <c r="T25" s="63"/>
      <c r="U25" s="63"/>
      <c r="V25" s="43">
        <f aca="true" t="shared" si="3" ref="V25:V31">+F25</f>
        <v>0</v>
      </c>
      <c r="W25" s="63"/>
      <c r="X25" s="63"/>
      <c r="Y25" s="43">
        <f aca="true" t="shared" si="4" ref="Y25:Y31">+I25</f>
        <v>0</v>
      </c>
      <c r="Z25" s="63"/>
      <c r="AA25" s="43"/>
      <c r="AB25" s="66" t="str">
        <f>IF(N_Fgl&gt;0,IF(AD23&gt;0,AH27,ROUND(dsfig*Percm,2)+IF($V$25&gt;0,ROUND((dsfg3-dsfig)*Percm,2),0)+IF($Y$25&gt;0,ROUND(dsfhc*Percm,2),0)),Vuota1)</f>
        <v>        </v>
      </c>
      <c r="AC25" s="231" t="s">
        <v>69</v>
      </c>
      <c r="AD25" s="232"/>
      <c r="AE25" s="233"/>
      <c r="AF25" s="244">
        <f>+P25</f>
        <v>1</v>
      </c>
      <c r="AH25" s="106">
        <f>ROUND(dsfig,5)+IF($V$25&gt;0,ROUND(dsfg3-dsfig,5),0)+IF($Y$25&gt;0,ROUND(dsfhc,5),0)</f>
        <v>0</v>
      </c>
      <c r="AI25" s="315"/>
      <c r="AJ25" s="316"/>
      <c r="AK25" s="77"/>
      <c r="AL25" s="128"/>
      <c r="AM25" s="129"/>
      <c r="AP25" s="87"/>
      <c r="AQ25" s="87"/>
      <c r="AT25" s="77"/>
      <c r="AU25" s="308"/>
      <c r="AV25" s="309"/>
      <c r="AW25" s="310"/>
      <c r="AX25" s="77"/>
      <c r="AY25" s="77"/>
      <c r="AZ25" s="77"/>
      <c r="BA25" s="77"/>
      <c r="BB25" s="77"/>
      <c r="BC25" s="77"/>
      <c r="BD25" s="77"/>
      <c r="BE25" s="77"/>
      <c r="BF25" s="77"/>
      <c r="BG25" s="77"/>
    </row>
    <row r="26" spans="1:59" ht="12.75">
      <c r="A26" s="64" t="str">
        <f>IF(N_Fgl&gt;1,"2° figlio"," ")</f>
        <v> </v>
      </c>
      <c r="B26" s="63"/>
      <c r="C26" s="43"/>
      <c r="D26" s="63"/>
      <c r="E26" s="63"/>
      <c r="F26" s="43"/>
      <c r="G26" s="63"/>
      <c r="H26" s="63"/>
      <c r="I26" s="43"/>
      <c r="J26" s="63"/>
      <c r="K26" s="63"/>
      <c r="L26" s="66" t="str">
        <f>IF($D$23&gt;1,ROUND(AB26/12,2),Vuota1)</f>
        <v>        </v>
      </c>
      <c r="M26" s="234"/>
      <c r="N26" s="188"/>
      <c r="O26" s="235"/>
      <c r="P26" s="245"/>
      <c r="Q26" s="64" t="str">
        <f>IF(N_Fgl&gt;1,"2° figlio"," ")</f>
        <v> </v>
      </c>
      <c r="R26" s="63"/>
      <c r="S26" s="43">
        <f t="shared" si="2"/>
        <v>0</v>
      </c>
      <c r="T26" s="63"/>
      <c r="U26" s="63"/>
      <c r="V26" s="43">
        <f t="shared" si="3"/>
        <v>0</v>
      </c>
      <c r="W26" s="63"/>
      <c r="X26" s="63"/>
      <c r="Y26" s="43">
        <f t="shared" si="4"/>
        <v>0</v>
      </c>
      <c r="Z26" s="63"/>
      <c r="AA26" s="43"/>
      <c r="AB26" s="66" t="str">
        <f>IF(N_Fgl&gt;1,ROUND(dsfig*Percm,2)+IF(V26&gt;0,ROUND((dsfg3-dsfig)*Percm,2),0)+IF(Y26&gt;0,ROUND(dsfhc*Percm,2),0),Vuota1)</f>
        <v>        </v>
      </c>
      <c r="AC26" s="234"/>
      <c r="AD26" s="188"/>
      <c r="AE26" s="235"/>
      <c r="AF26" s="245"/>
      <c r="AI26" s="315"/>
      <c r="AJ26" s="316"/>
      <c r="AK26" s="77"/>
      <c r="AL26" s="128"/>
      <c r="AM26" s="129"/>
      <c r="AP26" s="87"/>
      <c r="AQ26" s="8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</row>
    <row r="27" spans="1:59" ht="12.75">
      <c r="A27" s="64" t="str">
        <f>IF(N_Fgl&gt;2,"3° figlio"," ")</f>
        <v> </v>
      </c>
      <c r="B27" s="63"/>
      <c r="C27" s="43"/>
      <c r="D27" s="63"/>
      <c r="E27" s="63"/>
      <c r="F27" s="43"/>
      <c r="G27" s="63"/>
      <c r="H27" s="63"/>
      <c r="I27" s="43"/>
      <c r="J27" s="63"/>
      <c r="K27" s="63"/>
      <c r="L27" s="66" t="str">
        <f>IF($D$23&gt;2,ROUND(AB27/12,2),Vuota1)</f>
        <v>        </v>
      </c>
      <c r="M27" s="236"/>
      <c r="N27" s="237"/>
      <c r="O27" s="238"/>
      <c r="P27" s="246"/>
      <c r="Q27" s="64" t="str">
        <f>IF(N_Fgl&gt;2,"3° figlio"," ")</f>
        <v> </v>
      </c>
      <c r="R27" s="63"/>
      <c r="S27" s="43">
        <f t="shared" si="2"/>
        <v>0</v>
      </c>
      <c r="T27" s="63"/>
      <c r="U27" s="63"/>
      <c r="V27" s="43">
        <f t="shared" si="3"/>
        <v>0</v>
      </c>
      <c r="W27" s="63"/>
      <c r="X27" s="63"/>
      <c r="Y27" s="43">
        <f t="shared" si="4"/>
        <v>0</v>
      </c>
      <c r="Z27" s="63"/>
      <c r="AA27" s="43"/>
      <c r="AB27" s="66" t="str">
        <f>IF(N_Fgl&gt;2,ROUND(dsfig*Percm,2)+IF(V27&gt;0,ROUND((dsfg3-dsfig)*Percm,2),0)+IF(Y27&gt;0,ROUND(dsfhc*Percm,2),0),Vuota1)</f>
        <v>        </v>
      </c>
      <c r="AC27" s="236"/>
      <c r="AD27" s="237"/>
      <c r="AE27" s="238"/>
      <c r="AF27" s="246"/>
      <c r="AH27" s="106">
        <f>IF($AD$23&gt;0,IF($AH$25&gt;Cng_nn,ROUND($AH$25,2),ROUND(Cng_nn,5)),AH25)</f>
        <v>0</v>
      </c>
      <c r="AI27" s="315"/>
      <c r="AJ27" s="316"/>
      <c r="AK27" s="77"/>
      <c r="AL27" s="128"/>
      <c r="AM27" s="129"/>
      <c r="AP27" s="87"/>
      <c r="AQ27" s="8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</row>
    <row r="28" spans="1:59" ht="12.75">
      <c r="A28" s="64" t="str">
        <f>IF(N_Fgl&gt;3,"4° figlio"," ")</f>
        <v> </v>
      </c>
      <c r="B28" s="63"/>
      <c r="C28" s="43"/>
      <c r="D28" s="63"/>
      <c r="E28" s="63"/>
      <c r="F28" s="43"/>
      <c r="G28" s="63"/>
      <c r="H28" s="63"/>
      <c r="I28" s="43"/>
      <c r="J28" s="63"/>
      <c r="K28" s="63"/>
      <c r="L28" s="66" t="str">
        <f>IF($D$23&gt;3,ROUND(AB28/12,2),Vuota1)</f>
        <v>        </v>
      </c>
      <c r="M28" s="319" t="str">
        <f>IF(N23&gt;0,IF(P25=50%,"Attenzione: la percentuale deve essere 100%",Vuota1),Vuota1)</f>
        <v>        </v>
      </c>
      <c r="N28" s="319"/>
      <c r="O28" s="319"/>
      <c r="P28" s="320"/>
      <c r="Q28" s="64" t="str">
        <f>IF(N_Fgl&gt;3,"4° figlio"," ")</f>
        <v> </v>
      </c>
      <c r="R28" s="63"/>
      <c r="S28" s="43">
        <f t="shared" si="2"/>
        <v>0</v>
      </c>
      <c r="T28" s="63"/>
      <c r="U28" s="63"/>
      <c r="V28" s="43">
        <f t="shared" si="3"/>
        <v>0</v>
      </c>
      <c r="W28" s="63"/>
      <c r="X28" s="63"/>
      <c r="Y28" s="43">
        <f t="shared" si="4"/>
        <v>0</v>
      </c>
      <c r="Z28" s="63"/>
      <c r="AA28" s="43"/>
      <c r="AB28" s="66" t="str">
        <f>IF(N_Fgl&gt;3,ROUND(dsfig*Percm,2)+IF(V28&gt;0,ROUND((dsfg3-dsfig)*Percm,2),0)+IF(Y28&gt;0,ROUND(dsfhc*Percm,2),0),Vuota1)</f>
        <v>        </v>
      </c>
      <c r="AC28" s="20"/>
      <c r="AD28" s="20"/>
      <c r="AE28" s="20"/>
      <c r="AF28" s="62"/>
      <c r="AI28" s="315"/>
      <c r="AJ28" s="316"/>
      <c r="AK28" s="77"/>
      <c r="AL28" s="128"/>
      <c r="AM28" s="129"/>
      <c r="AP28" s="87"/>
      <c r="AQ28" s="8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</row>
    <row r="29" spans="1:59" ht="13.5" thickBot="1">
      <c r="A29" s="64" t="str">
        <f>IF(N_Fgl&gt;4,"5° figlio"," ")</f>
        <v> </v>
      </c>
      <c r="B29" s="63"/>
      <c r="C29" s="43"/>
      <c r="D29" s="63"/>
      <c r="E29" s="63"/>
      <c r="F29" s="43"/>
      <c r="G29" s="63"/>
      <c r="H29" s="63"/>
      <c r="I29" s="43"/>
      <c r="J29" s="63"/>
      <c r="K29" s="63"/>
      <c r="L29" s="66" t="str">
        <f>IF($D$23&gt;4,ROUND(AB29/12,2),Vuota1)</f>
        <v>        </v>
      </c>
      <c r="M29" s="321"/>
      <c r="N29" s="321"/>
      <c r="O29" s="321"/>
      <c r="P29" s="322"/>
      <c r="Q29" s="64" t="str">
        <f>IF(N_Fgl&gt;4,"5° figlio"," ")</f>
        <v> </v>
      </c>
      <c r="R29" s="63"/>
      <c r="S29" s="43">
        <f t="shared" si="2"/>
        <v>0</v>
      </c>
      <c r="T29" s="63"/>
      <c r="U29" s="63"/>
      <c r="V29" s="43">
        <f t="shared" si="3"/>
        <v>0</v>
      </c>
      <c r="W29" s="63"/>
      <c r="X29" s="63"/>
      <c r="Y29" s="43">
        <f t="shared" si="4"/>
        <v>0</v>
      </c>
      <c r="Z29" s="63"/>
      <c r="AA29" s="43"/>
      <c r="AB29" s="66" t="str">
        <f>IF(N_Fgl&gt;4,ROUND(dsfig*Percm,2)+IF(V29&gt;0,ROUND((dsfg3-dsfig)*Percm,2),0)+IF(Y29&gt;0,ROUND(dsfhc*Percm,2),0),Vuota1)</f>
        <v>        </v>
      </c>
      <c r="AC29" s="20"/>
      <c r="AD29" s="20"/>
      <c r="AE29" s="20"/>
      <c r="AF29" s="62"/>
      <c r="AI29" s="315"/>
      <c r="AJ29" s="316"/>
      <c r="AK29" s="77"/>
      <c r="AL29" s="128"/>
      <c r="AM29" s="129"/>
      <c r="AP29" s="87"/>
      <c r="AQ29" s="8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</row>
    <row r="30" spans="1:59" ht="13.5" thickTop="1">
      <c r="A30" s="64" t="str">
        <f>IF(N_Fgl&gt;5,"6° figlio"," ")</f>
        <v> </v>
      </c>
      <c r="B30" s="63"/>
      <c r="C30" s="43"/>
      <c r="D30" s="63"/>
      <c r="E30" s="63"/>
      <c r="F30" s="43"/>
      <c r="G30" s="63"/>
      <c r="H30" s="63"/>
      <c r="I30" s="43"/>
      <c r="J30" s="63"/>
      <c r="K30" s="63"/>
      <c r="L30" s="66" t="str">
        <f>IF($D$23&gt;5,ROUND(AB30/12,2),Vuota1)</f>
        <v>        </v>
      </c>
      <c r="M30" s="20"/>
      <c r="N30" s="20"/>
      <c r="O30" s="20"/>
      <c r="P30" s="62"/>
      <c r="Q30" s="64" t="str">
        <f>IF(N_Fgl&gt;5,"6° figlio"," ")</f>
        <v> </v>
      </c>
      <c r="R30" s="63"/>
      <c r="S30" s="43">
        <f t="shared" si="2"/>
        <v>0</v>
      </c>
      <c r="T30" s="63"/>
      <c r="U30" s="63"/>
      <c r="V30" s="43">
        <f t="shared" si="3"/>
        <v>0</v>
      </c>
      <c r="W30" s="63"/>
      <c r="X30" s="63"/>
      <c r="Y30" s="43">
        <f t="shared" si="4"/>
        <v>0</v>
      </c>
      <c r="Z30" s="63"/>
      <c r="AA30" s="43"/>
      <c r="AB30" s="66" t="str">
        <f>IF(N_Fgl&gt;5,ROUND(dsfig*Percm,2)+IF(V30&gt;0,ROUND((dsfg3-dsfig)*Percm,2),0)+IF(Y30&gt;0,ROUND(dsfhc*Percm,2),0),Vuota1)</f>
        <v>        </v>
      </c>
      <c r="AC30" s="20"/>
      <c r="AD30" s="20"/>
      <c r="AE30" s="20"/>
      <c r="AF30" s="62"/>
      <c r="AI30" s="315"/>
      <c r="AJ30" s="316"/>
      <c r="AK30" s="77"/>
      <c r="AL30" s="128"/>
      <c r="AM30" s="129"/>
      <c r="AP30" s="87"/>
      <c r="AQ30" s="87"/>
      <c r="AT30" s="77"/>
      <c r="AU30" s="253" t="s">
        <v>99</v>
      </c>
      <c r="AV30" s="254"/>
      <c r="AW30" s="255"/>
      <c r="AX30" s="77"/>
      <c r="AY30" s="77"/>
      <c r="AZ30" s="77"/>
      <c r="BA30" s="77"/>
      <c r="BB30" s="77"/>
      <c r="BC30" s="77"/>
      <c r="BD30" s="77"/>
      <c r="BE30" s="77"/>
      <c r="BF30" s="77"/>
      <c r="BG30" s="77"/>
    </row>
    <row r="31" spans="1:59" ht="12.75">
      <c r="A31" s="64" t="str">
        <f>IF(N_Fgl&gt;6,"7° figlio"," ")</f>
        <v> </v>
      </c>
      <c r="B31" s="63"/>
      <c r="C31" s="43"/>
      <c r="D31" s="63"/>
      <c r="E31" s="63"/>
      <c r="F31" s="43"/>
      <c r="G31" s="63"/>
      <c r="H31" s="63"/>
      <c r="I31" s="43"/>
      <c r="J31" s="63"/>
      <c r="K31" s="63"/>
      <c r="L31" s="66" t="str">
        <f>IF($D$23&gt;6,ROUND(AB31/12,2),Vuota1)</f>
        <v>        </v>
      </c>
      <c r="M31" s="20"/>
      <c r="N31" s="20"/>
      <c r="O31" s="20"/>
      <c r="P31" s="62"/>
      <c r="Q31" s="64" t="str">
        <f>IF(N_Fgl&gt;6,"7° figlio"," ")</f>
        <v> </v>
      </c>
      <c r="R31" s="63"/>
      <c r="S31" s="43">
        <f t="shared" si="2"/>
        <v>0</v>
      </c>
      <c r="T31" s="63"/>
      <c r="U31" s="63"/>
      <c r="V31" s="43">
        <f t="shared" si="3"/>
        <v>0</v>
      </c>
      <c r="W31" s="63"/>
      <c r="X31" s="63"/>
      <c r="Y31" s="43">
        <f t="shared" si="4"/>
        <v>0</v>
      </c>
      <c r="Z31" s="63"/>
      <c r="AA31" s="43"/>
      <c r="AB31" s="66" t="str">
        <f>IF(N_Fgl&gt;6,ROUND(dsfig*Percm,2)+IF(V31&gt;0,ROUND((dsfg3-dsfig)*Percm,2),0)+IF(Y31&gt;0,ROUND(dsfhc*Percm,2),0),Vuota1)</f>
        <v>        </v>
      </c>
      <c r="AC31" s="20"/>
      <c r="AD31" s="20"/>
      <c r="AE31" s="20"/>
      <c r="AF31" s="62"/>
      <c r="AI31" s="315"/>
      <c r="AJ31" s="316"/>
      <c r="AK31" s="77"/>
      <c r="AL31" s="128"/>
      <c r="AM31" s="129"/>
      <c r="AP31" s="87"/>
      <c r="AQ31" s="87"/>
      <c r="AT31" s="77"/>
      <c r="AU31" s="256"/>
      <c r="AV31" s="257"/>
      <c r="AW31" s="258"/>
      <c r="AX31" s="77"/>
      <c r="AY31" s="77"/>
      <c r="AZ31" s="77"/>
      <c r="BA31" s="77"/>
      <c r="BB31" s="77"/>
      <c r="BC31" s="77"/>
      <c r="BD31" s="77"/>
      <c r="BE31" s="77"/>
      <c r="BF31" s="77"/>
      <c r="BG31" s="77"/>
    </row>
    <row r="32" spans="1:59" ht="12.75">
      <c r="A32" s="5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62"/>
      <c r="Q32" s="57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62"/>
      <c r="AI32" s="315"/>
      <c r="AJ32" s="316"/>
      <c r="AK32" s="77"/>
      <c r="AL32" s="128"/>
      <c r="AM32" s="129"/>
      <c r="AP32" s="87"/>
      <c r="AQ32" s="87"/>
      <c r="AT32" s="77"/>
      <c r="AU32" s="256"/>
      <c r="AV32" s="257"/>
      <c r="AW32" s="258"/>
      <c r="AX32" s="77"/>
      <c r="AY32" s="77"/>
      <c r="AZ32" s="77"/>
      <c r="BA32" s="77"/>
      <c r="BB32" s="77"/>
      <c r="BC32" s="77"/>
      <c r="BD32" s="77"/>
      <c r="BE32" s="77"/>
      <c r="BF32" s="77"/>
      <c r="BG32" s="77"/>
    </row>
    <row r="33" spans="1:59" ht="12.75" customHeight="1">
      <c r="A33" s="286" t="s">
        <v>86</v>
      </c>
      <c r="B33" s="287"/>
      <c r="C33" s="288"/>
      <c r="D33" s="2"/>
      <c r="E33" s="20"/>
      <c r="F33" s="63"/>
      <c r="G33" s="63"/>
      <c r="H33" s="63"/>
      <c r="I33" s="45"/>
      <c r="J33" s="20"/>
      <c r="K33" s="188" t="str">
        <f>IF(D33&gt;0,"Indicare il numero complessivo degli aventi diritto alla detrazione pro quota",Vuota1)</f>
        <v>        </v>
      </c>
      <c r="L33" s="179"/>
      <c r="M33" s="179"/>
      <c r="N33" s="179"/>
      <c r="O33" s="179"/>
      <c r="P33" s="223"/>
      <c r="Q33" s="286" t="s">
        <v>86</v>
      </c>
      <c r="R33" s="287"/>
      <c r="S33" s="288"/>
      <c r="T33" s="2">
        <f>+D33</f>
        <v>0</v>
      </c>
      <c r="U33" s="20"/>
      <c r="V33" s="63" t="str">
        <f>IF(T33&gt;0,"Mesi a carico",Vuota1)</f>
        <v>        </v>
      </c>
      <c r="W33" s="63"/>
      <c r="X33" s="63"/>
      <c r="Y33" s="45">
        <v>12</v>
      </c>
      <c r="Z33" s="20"/>
      <c r="AA33" s="188" t="str">
        <f>IF(T33&gt;0,"Indicare il numero complessivo degli aventi diritto alla detrazione pro quota",Vuota1)</f>
        <v>        </v>
      </c>
      <c r="AB33" s="311"/>
      <c r="AC33" s="311"/>
      <c r="AD33" s="311"/>
      <c r="AE33" s="311"/>
      <c r="AF33" s="223">
        <f>+P33</f>
        <v>0</v>
      </c>
      <c r="AI33" s="315"/>
      <c r="AJ33" s="316"/>
      <c r="AK33" s="77"/>
      <c r="AL33" s="128"/>
      <c r="AM33" s="129"/>
      <c r="AP33" s="87"/>
      <c r="AQ33" s="87"/>
      <c r="AT33" s="77"/>
      <c r="AU33" s="256"/>
      <c r="AV33" s="257"/>
      <c r="AW33" s="258"/>
      <c r="AX33" s="77"/>
      <c r="AY33" s="77"/>
      <c r="AZ33" s="77"/>
      <c r="BA33" s="77"/>
      <c r="BB33" s="77"/>
      <c r="BC33" s="77"/>
      <c r="BD33" s="77"/>
      <c r="BE33" s="77"/>
      <c r="BF33" s="77"/>
      <c r="BG33" s="77"/>
    </row>
    <row r="34" spans="1:59" ht="12.75">
      <c r="A34" s="80"/>
      <c r="B34" s="81"/>
      <c r="C34" s="81"/>
      <c r="D34" s="82"/>
      <c r="E34" s="20"/>
      <c r="F34" s="63"/>
      <c r="G34" s="63"/>
      <c r="H34" s="63"/>
      <c r="I34" s="45"/>
      <c r="J34" s="20"/>
      <c r="K34" s="180"/>
      <c r="L34" s="180"/>
      <c r="M34" s="180"/>
      <c r="N34" s="180"/>
      <c r="O34" s="180"/>
      <c r="P34" s="224"/>
      <c r="Q34" s="80"/>
      <c r="R34" s="81"/>
      <c r="S34" s="81"/>
      <c r="T34" s="82"/>
      <c r="U34" s="20"/>
      <c r="V34" s="63"/>
      <c r="W34" s="63"/>
      <c r="X34" s="63"/>
      <c r="Y34" s="45"/>
      <c r="Z34" s="20"/>
      <c r="AA34" s="180"/>
      <c r="AB34" s="180"/>
      <c r="AC34" s="180"/>
      <c r="AD34" s="180"/>
      <c r="AE34" s="180"/>
      <c r="AF34" s="224"/>
      <c r="AI34" s="315"/>
      <c r="AJ34" s="316"/>
      <c r="AK34" s="77"/>
      <c r="AL34" s="128"/>
      <c r="AM34" s="129"/>
      <c r="AP34" s="87"/>
      <c r="AQ34" s="87"/>
      <c r="AT34" s="77"/>
      <c r="AU34" s="256"/>
      <c r="AV34" s="257"/>
      <c r="AW34" s="258"/>
      <c r="AX34" s="77"/>
      <c r="AY34" s="77"/>
      <c r="AZ34" s="77"/>
      <c r="BA34" s="77"/>
      <c r="BB34" s="77"/>
      <c r="BC34" s="77"/>
      <c r="BD34" s="77"/>
      <c r="BE34" s="77"/>
      <c r="BF34" s="77"/>
      <c r="BG34" s="77"/>
    </row>
    <row r="35" spans="1:59" ht="12.75">
      <c r="A35" s="165" t="s">
        <v>70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7"/>
      <c r="Q35" s="165" t="s">
        <v>70</v>
      </c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7"/>
      <c r="AI35" s="315"/>
      <c r="AJ35" s="316"/>
      <c r="AK35" s="77"/>
      <c r="AL35" s="120">
        <v>0.0001</v>
      </c>
      <c r="AM35" s="121">
        <f>ROUND(DetrConiuge-(Ind*Rapp),2)</f>
        <v>800</v>
      </c>
      <c r="AO35">
        <f>IF(AP35&gt;0,1,0)</f>
        <v>0</v>
      </c>
      <c r="AP35" s="87"/>
      <c r="AQ35" s="87">
        <v>200</v>
      </c>
      <c r="AT35" s="77"/>
      <c r="AU35" s="256"/>
      <c r="AV35" s="257"/>
      <c r="AW35" s="258"/>
      <c r="AX35" s="77"/>
      <c r="AY35" s="77"/>
      <c r="AZ35" s="77"/>
      <c r="BA35" s="77"/>
      <c r="BB35" s="77"/>
      <c r="BC35" s="77"/>
      <c r="BD35" s="77"/>
      <c r="BE35" s="77"/>
      <c r="BF35" s="77"/>
      <c r="BG35" s="77"/>
    </row>
    <row r="36" spans="1:59" ht="12.75">
      <c r="A36" s="290" t="s">
        <v>32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2"/>
      <c r="Q36" s="290" t="s">
        <v>32</v>
      </c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2"/>
      <c r="AH36" s="184" t="s">
        <v>62</v>
      </c>
      <c r="AI36" s="315"/>
      <c r="AJ36" s="316"/>
      <c r="AK36" s="77"/>
      <c r="AL36" s="122">
        <v>1</v>
      </c>
      <c r="AM36" s="121">
        <f>+DetrRid</f>
        <v>690</v>
      </c>
      <c r="AO36">
        <f>IF(AP36&gt;0,1,0)</f>
        <v>0</v>
      </c>
      <c r="AP36" s="87"/>
      <c r="AQ36" s="87">
        <v>1500</v>
      </c>
      <c r="AT36" s="77"/>
      <c r="AU36" s="256"/>
      <c r="AV36" s="257"/>
      <c r="AW36" s="258"/>
      <c r="AX36" s="77"/>
      <c r="AY36" s="77"/>
      <c r="AZ36" s="77"/>
      <c r="BA36" s="77"/>
      <c r="BB36" s="77"/>
      <c r="BC36" s="77"/>
      <c r="BD36" s="77"/>
      <c r="BE36" s="77"/>
      <c r="BF36" s="77"/>
      <c r="BG36" s="77"/>
    </row>
    <row r="37" spans="1:59" ht="12.75">
      <c r="A37" s="225" t="s">
        <v>19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7"/>
      <c r="M37" s="3">
        <f>ROUND(AC37/12,0)</f>
        <v>0</v>
      </c>
      <c r="N37" s="20"/>
      <c r="O37" s="20"/>
      <c r="P37" s="62"/>
      <c r="Q37" s="225" t="s">
        <v>19</v>
      </c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7"/>
      <c r="AC37" s="3">
        <f>IF(CNG="SI",ROUND((VLOOKUP(Redd_Detraz,ConDetr,3)+VLOOKUP(Redd_Detraz,LettB,3))/12*Me_co,2),0)</f>
        <v>0</v>
      </c>
      <c r="AD37" s="20"/>
      <c r="AE37" s="20"/>
      <c r="AF37" s="62"/>
      <c r="AH37" s="184"/>
      <c r="AI37" s="315"/>
      <c r="AJ37" s="316"/>
      <c r="AK37" s="77"/>
      <c r="AL37" s="123">
        <v>10</v>
      </c>
      <c r="AM37" s="124">
        <f>ROUND(DetrConiuge-(Ind*Rapp),2)</f>
        <v>800</v>
      </c>
      <c r="AO37">
        <f>SUM(AO18:AO36)</f>
        <v>0</v>
      </c>
      <c r="AT37" s="77"/>
      <c r="AU37" s="256"/>
      <c r="AV37" s="257"/>
      <c r="AW37" s="258"/>
      <c r="AX37" s="77"/>
      <c r="AY37" s="77"/>
      <c r="AZ37" s="77"/>
      <c r="BA37" s="77"/>
      <c r="BB37" s="77"/>
      <c r="BC37" s="77"/>
      <c r="BD37" s="77"/>
      <c r="BE37" s="77"/>
      <c r="BF37" s="77"/>
      <c r="BG37" s="77"/>
    </row>
    <row r="38" spans="1:59" ht="13.5" thickBot="1">
      <c r="A38" s="225" t="s">
        <v>42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7"/>
      <c r="M38" s="3">
        <f>ROUND(AC38/12,0)</f>
        <v>0</v>
      </c>
      <c r="N38" s="20"/>
      <c r="O38" s="20"/>
      <c r="P38" s="62"/>
      <c r="Q38" s="225" t="s">
        <v>42</v>
      </c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7"/>
      <c r="AC38" s="3">
        <f>SUMIF(AB25:AB31,"&gt;0")</f>
        <v>0</v>
      </c>
      <c r="AD38" s="20"/>
      <c r="AE38" s="20"/>
      <c r="AF38" s="62"/>
      <c r="AH38" s="109">
        <f>IF(Lordo&gt;0,ROUND((VLOOKUP(Redd_Detraz,ConDetr,3)+VLOOKUP(Redd_Detraz,LettB,3)),5),0)</f>
        <v>0</v>
      </c>
      <c r="AI38" s="315"/>
      <c r="AJ38" s="110">
        <v>40000</v>
      </c>
      <c r="AK38" s="77"/>
      <c r="AL38" s="125"/>
      <c r="AM38" s="126">
        <f>+DetrRid</f>
        <v>690</v>
      </c>
      <c r="AT38" s="77"/>
      <c r="AU38" s="259"/>
      <c r="AV38" s="260"/>
      <c r="AW38" s="261"/>
      <c r="AX38" s="77"/>
      <c r="AY38" s="77"/>
      <c r="AZ38" s="77"/>
      <c r="BA38" s="77"/>
      <c r="BB38" s="77"/>
      <c r="BC38" s="77"/>
      <c r="BD38" s="77"/>
      <c r="BE38" s="77"/>
      <c r="BF38" s="77"/>
      <c r="BG38" s="77"/>
    </row>
    <row r="39" spans="1:59" ht="13.5" thickTop="1">
      <c r="A39" s="225" t="s">
        <v>56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7"/>
      <c r="M39" s="3">
        <f>IF(D33&gt;0,IF(P33&gt;0,ROUND(AC39/12,0),0),0)</f>
        <v>0</v>
      </c>
      <c r="N39" s="20"/>
      <c r="O39" s="20"/>
      <c r="P39" s="62"/>
      <c r="Q39" s="225" t="s">
        <v>56</v>
      </c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7"/>
      <c r="AC39" s="3">
        <f>IF(T33&gt;0,ROUND(dsaltri*T33/12*Y33/AF33,2),0)</f>
        <v>0</v>
      </c>
      <c r="AD39" s="20"/>
      <c r="AE39" s="20"/>
      <c r="AF39" s="62"/>
      <c r="AI39" s="315"/>
      <c r="AJ39" s="316">
        <v>80000</v>
      </c>
      <c r="AK39" s="77"/>
      <c r="AL39" s="118">
        <v>0</v>
      </c>
      <c r="AM39" s="119">
        <v>0</v>
      </c>
      <c r="AP39">
        <f>IF(AO37&gt;0,IF(VLOOKUP(AP42,abi,2)&lt;DetrRid,DetrRid,VLOOKUP(AP42,abi,2)),0)</f>
        <v>0</v>
      </c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</row>
    <row r="40" spans="1:59" ht="12.75">
      <c r="A40" s="172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4"/>
      <c r="Q40" s="172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4"/>
      <c r="AH40" s="184" t="s">
        <v>63</v>
      </c>
      <c r="AI40" s="315"/>
      <c r="AJ40" s="316"/>
      <c r="AK40" s="77"/>
      <c r="AL40" s="120">
        <v>0.0001</v>
      </c>
      <c r="AM40" s="121">
        <f>ROUND(DetrRid*Rap1,2)</f>
        <v>1380</v>
      </c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</row>
    <row r="41" spans="1:59" ht="12.75">
      <c r="A41" s="225" t="s">
        <v>76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7"/>
      <c r="M41" s="3">
        <f>SUM(M37:M39)</f>
        <v>0</v>
      </c>
      <c r="N41" s="20"/>
      <c r="O41" s="20"/>
      <c r="P41" s="62"/>
      <c r="Q41" s="225" t="s">
        <v>76</v>
      </c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7"/>
      <c r="AC41" s="3">
        <f>SUM(AC37:AC39)</f>
        <v>0</v>
      </c>
      <c r="AD41" s="20"/>
      <c r="AE41" s="20"/>
      <c r="AF41" s="62"/>
      <c r="AH41" s="184"/>
      <c r="AI41" s="315"/>
      <c r="AJ41" s="316"/>
      <c r="AK41" s="77"/>
      <c r="AL41" s="122">
        <v>1</v>
      </c>
      <c r="AM41" s="121">
        <f>ROUND(DetrRid*Rap1,2)</f>
        <v>1380</v>
      </c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</row>
    <row r="42" spans="1:59" ht="12.75">
      <c r="A42" s="165" t="s">
        <v>71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7"/>
      <c r="Q42" s="165" t="s">
        <v>71</v>
      </c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7"/>
      <c r="AH42" s="106">
        <f>dsfig+IF($V$25&gt;0,dsfg3-dsfig,0)+IF($Y$25&gt;0,dsfhc,0)</f>
        <v>0</v>
      </c>
      <c r="AI42" s="315"/>
      <c r="AJ42" s="316"/>
      <c r="AK42" s="77"/>
      <c r="AL42" s="123">
        <v>10</v>
      </c>
      <c r="AM42" s="124">
        <f>ROUND(DetrRid*Rap1,2)</f>
        <v>1380</v>
      </c>
      <c r="AP42" t="s">
        <v>58</v>
      </c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</row>
    <row r="43" spans="1:59" ht="12.75">
      <c r="A43" s="155" t="s">
        <v>73</v>
      </c>
      <c r="B43" s="156"/>
      <c r="C43" s="156"/>
      <c r="D43" s="156"/>
      <c r="E43" s="156"/>
      <c r="F43" s="157"/>
      <c r="G43" s="46" t="str">
        <f>IF(E17&gt;0,IF(G44&gt;0,Vuota1,"x"),Vuota1)</f>
        <v>        </v>
      </c>
      <c r="H43" s="63"/>
      <c r="I43" s="312" t="s">
        <v>141</v>
      </c>
      <c r="J43" s="158"/>
      <c r="K43" s="158"/>
      <c r="L43" s="158"/>
      <c r="M43" s="2">
        <v>30</v>
      </c>
      <c r="N43" s="20"/>
      <c r="O43" s="20"/>
      <c r="P43" s="62"/>
      <c r="Q43" s="155" t="s">
        <v>73</v>
      </c>
      <c r="R43" s="156"/>
      <c r="S43" s="156"/>
      <c r="T43" s="156"/>
      <c r="U43" s="156"/>
      <c r="V43" s="157"/>
      <c r="W43" s="46" t="str">
        <f>IF(W44&gt;0,Vuota1,"x")</f>
        <v>x</v>
      </c>
      <c r="X43" s="63"/>
      <c r="Y43" s="312" t="s">
        <v>75</v>
      </c>
      <c r="Z43" s="158"/>
      <c r="AA43" s="158"/>
      <c r="AB43" s="158"/>
      <c r="AC43" s="2">
        <v>365</v>
      </c>
      <c r="AD43" s="20"/>
      <c r="AE43" s="20"/>
      <c r="AF43" s="62"/>
      <c r="AI43" s="315"/>
      <c r="AJ43" s="114">
        <v>1000000000</v>
      </c>
      <c r="AK43" s="77"/>
      <c r="AL43" s="130">
        <v>0</v>
      </c>
      <c r="AM43" s="124">
        <v>0</v>
      </c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</row>
    <row r="44" spans="1:59" ht="12.75">
      <c r="A44" s="67" t="s">
        <v>74</v>
      </c>
      <c r="B44" s="68"/>
      <c r="C44" s="68"/>
      <c r="D44" s="68"/>
      <c r="E44" s="68"/>
      <c r="F44" s="20"/>
      <c r="G44" s="2"/>
      <c r="H44" s="63"/>
      <c r="I44" s="63"/>
      <c r="J44" s="63"/>
      <c r="K44" s="158" t="s">
        <v>77</v>
      </c>
      <c r="L44" s="158"/>
      <c r="M44" s="158"/>
      <c r="N44" s="159"/>
      <c r="O44" s="39">
        <f>IF(E17&gt;0,ROUND(AE44/365*M43,0),0)</f>
        <v>0</v>
      </c>
      <c r="P44" s="62"/>
      <c r="Q44" s="67" t="s">
        <v>74</v>
      </c>
      <c r="R44" s="68"/>
      <c r="S44" s="68"/>
      <c r="T44" s="68"/>
      <c r="U44" s="68"/>
      <c r="V44" s="20"/>
      <c r="W44" s="2">
        <f>+G44</f>
        <v>0</v>
      </c>
      <c r="X44" s="63"/>
      <c r="Y44" s="63"/>
      <c r="Z44" s="63"/>
      <c r="AA44" s="158" t="s">
        <v>77</v>
      </c>
      <c r="AB44" s="158"/>
      <c r="AC44" s="158"/>
      <c r="AD44" s="159"/>
      <c r="AE44" s="39">
        <f>IF(Lordo&gt;0,IF(W44&gt;0,IF(Redd_Detraz&lt;8000.01,IF(AH44&gt;AH47,AH44,AH47),AH44),IF(Redd_Detraz&lt;8000.01,IF(AH44&gt;AH46,AH44,AH46),AH44)),0)</f>
        <v>0</v>
      </c>
      <c r="AF44" s="62"/>
      <c r="AH44" s="373">
        <f>IF(Redd_Detraz&gt;0,ROUND((VLOOKUP(Redd_Detraz,Altre_detraz,2)/365*AC43+VLOOKUP(Redd_Detraz,Aum_altre,2)),5),0)</f>
        <v>0</v>
      </c>
      <c r="AI44" s="315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</row>
    <row r="45" spans="1:59" ht="12.75" customHeight="1" thickBot="1">
      <c r="A45" s="6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70"/>
      <c r="Q45" s="69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70"/>
      <c r="AI45" s="315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</row>
    <row r="46" spans="1:59" ht="12.75" customHeight="1" thickBot="1">
      <c r="A46" s="220" t="s">
        <v>142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2"/>
      <c r="O46" s="228">
        <f>+E17-L18</f>
        <v>0</v>
      </c>
      <c r="P46" s="228"/>
      <c r="Q46" s="71" t="s">
        <v>20</v>
      </c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228">
        <f>+Reddito_imponibile_mensile+Gratif_Anno</f>
        <v>0</v>
      </c>
      <c r="AF46" s="228"/>
      <c r="AH46" s="106">
        <v>690</v>
      </c>
      <c r="AI46" s="315"/>
      <c r="AJ46" s="106">
        <v>0.001</v>
      </c>
      <c r="AK46" s="87"/>
      <c r="AL46" s="106">
        <f>VLOOKUP(Rapp,quin,2)</f>
        <v>0</v>
      </c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</row>
    <row r="47" spans="1:59" ht="12.75" customHeight="1" thickBot="1">
      <c r="A47" s="220" t="s">
        <v>143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2"/>
      <c r="O47" s="162">
        <f>ROUND(IreTab/12,5)</f>
        <v>0</v>
      </c>
      <c r="P47" s="162"/>
      <c r="Q47" s="35" t="s">
        <v>60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14">
        <f>IF(Lordo&gt;0,IF(Reddito_imponibile_mensile&gt;0,ROUND((Reddito_imponibile_mensile-VLOOKUP(Reddito_imponibile_mensile,Aliquote,1))*VLOOKUP(Reddito_imponibile_mensile,Aliquote,3),5)+VLOOKUP(Reddito_imponibile_mensile,Aliquote,4),0)+IF(Gratif_Anno&gt;0,ROUND(Gratif_Anno*VLOOKUP(ReddNetto,Aliquote,3),5),0),0)</f>
        <v>0</v>
      </c>
      <c r="AF47" s="314"/>
      <c r="AH47" s="106">
        <v>1380</v>
      </c>
      <c r="AI47" s="315"/>
      <c r="AJ47" s="106">
        <v>15000</v>
      </c>
      <c r="AK47" s="87"/>
      <c r="AL47" s="106">
        <f>+DetrRid</f>
        <v>690</v>
      </c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</row>
    <row r="48" spans="1:59" ht="13.5" thickBot="1">
      <c r="A48" s="220" t="s">
        <v>144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2"/>
      <c r="O48" s="162">
        <f>+M41+O44</f>
        <v>0</v>
      </c>
      <c r="P48" s="162"/>
      <c r="Q48" s="37" t="s">
        <v>36</v>
      </c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162">
        <f>+AC41+AE44</f>
        <v>0</v>
      </c>
      <c r="AF48" s="162"/>
      <c r="AI48" s="315"/>
      <c r="AJ48" s="106">
        <v>40000</v>
      </c>
      <c r="AK48" s="87"/>
      <c r="AL48" s="106">
        <f>VLOOKUP(Rap1,ottan,2)</f>
        <v>1380</v>
      </c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</row>
    <row r="49" spans="1:59" ht="16.5" thickBot="1">
      <c r="A49" s="296" t="s">
        <v>147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97"/>
      <c r="O49" s="326">
        <f>IF(O47-O48&gt;0,O47-O48,0)</f>
        <v>0</v>
      </c>
      <c r="P49" s="178"/>
      <c r="Q49" s="71" t="s">
        <v>61</v>
      </c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177">
        <f>+AE47-AE48</f>
        <v>0</v>
      </c>
      <c r="AF49" s="178"/>
      <c r="AI49" s="315"/>
      <c r="AJ49" s="106">
        <v>80000</v>
      </c>
      <c r="AK49" s="87"/>
      <c r="AL49" s="106">
        <v>0</v>
      </c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</row>
    <row r="50" spans="1:59" ht="16.5" thickBot="1">
      <c r="A50" s="190" t="s">
        <v>146</v>
      </c>
      <c r="B50" s="190"/>
      <c r="C50" s="190"/>
      <c r="D50" s="190"/>
      <c r="E50" s="191" t="str">
        <f>IF(E17&gt;0,VLOOKUP(ReddNetto,Aliquote,3),Vuota1)</f>
        <v>        </v>
      </c>
      <c r="F50" s="191"/>
      <c r="G50" s="152"/>
      <c r="H50" s="152"/>
      <c r="I50" s="152"/>
      <c r="J50" s="152"/>
      <c r="K50" s="323" t="s">
        <v>131</v>
      </c>
      <c r="L50" s="323"/>
      <c r="M50" s="323"/>
      <c r="N50" s="323"/>
      <c r="O50" s="324">
        <f>+O49</f>
        <v>0</v>
      </c>
      <c r="P50" s="325"/>
      <c r="Q50" s="72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73"/>
      <c r="AI50" s="315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</row>
    <row r="51" spans="17:59" ht="12.75">
      <c r="Q51" s="57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62"/>
      <c r="AI51" s="315"/>
      <c r="AJ51" s="137">
        <v>0</v>
      </c>
      <c r="AK51" s="138"/>
      <c r="AL51" s="115">
        <v>0</v>
      </c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</row>
    <row r="52" spans="17:59" ht="13.5">
      <c r="Q52" s="168" t="s">
        <v>21</v>
      </c>
      <c r="R52" s="169"/>
      <c r="S52" s="169"/>
      <c r="T52" s="153"/>
      <c r="U52" s="163" t="s">
        <v>22</v>
      </c>
      <c r="V52" s="154"/>
      <c r="W52" s="164"/>
      <c r="X52" s="163" t="s">
        <v>23</v>
      </c>
      <c r="Y52" s="154"/>
      <c r="Z52" s="164"/>
      <c r="AA52" s="163" t="s">
        <v>24</v>
      </c>
      <c r="AB52" s="164"/>
      <c r="AC52" s="52" t="s">
        <v>25</v>
      </c>
      <c r="AD52" s="163" t="s">
        <v>26</v>
      </c>
      <c r="AE52" s="164"/>
      <c r="AF52" s="62"/>
      <c r="AI52" s="315"/>
      <c r="AJ52" s="139">
        <v>29000.01</v>
      </c>
      <c r="AK52" s="140"/>
      <c r="AL52" s="116">
        <v>10</v>
      </c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</row>
    <row r="53" spans="17:59" ht="12.75">
      <c r="Q53" s="163" t="s">
        <v>27</v>
      </c>
      <c r="R53" s="154"/>
      <c r="S53" s="154"/>
      <c r="T53" s="164"/>
      <c r="U53" s="53"/>
      <c r="V53" s="2">
        <v>1.4</v>
      </c>
      <c r="W53" s="53"/>
      <c r="X53" s="175">
        <f>+ReddNetto</f>
        <v>0</v>
      </c>
      <c r="Y53" s="219"/>
      <c r="Z53" s="176"/>
      <c r="AA53" s="175">
        <f>ROUND(X53*V53%,2)</f>
        <v>0</v>
      </c>
      <c r="AB53" s="176"/>
      <c r="AC53" s="2">
        <v>10</v>
      </c>
      <c r="AD53" s="175">
        <f>ROUND(AA53/AC53,2)</f>
        <v>0</v>
      </c>
      <c r="AE53" s="176"/>
      <c r="AF53" s="62"/>
      <c r="AI53" s="315"/>
      <c r="AJ53" s="139">
        <v>29200.01</v>
      </c>
      <c r="AK53" s="140"/>
      <c r="AL53" s="116">
        <v>20</v>
      </c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</row>
    <row r="54" spans="17:59" ht="12.75">
      <c r="Q54" s="163" t="s">
        <v>28</v>
      </c>
      <c r="R54" s="154"/>
      <c r="S54" s="154"/>
      <c r="T54" s="164"/>
      <c r="U54" s="53"/>
      <c r="V54" s="2">
        <v>0.4</v>
      </c>
      <c r="W54" s="53"/>
      <c r="X54" s="175">
        <f>+ReddNetto</f>
        <v>0</v>
      </c>
      <c r="Y54" s="219"/>
      <c r="Z54" s="176"/>
      <c r="AA54" s="175">
        <f>ROUND(X54*V54%,2)</f>
        <v>0</v>
      </c>
      <c r="AB54" s="176"/>
      <c r="AC54" s="52" t="s">
        <v>25</v>
      </c>
      <c r="AD54" s="163" t="s">
        <v>26</v>
      </c>
      <c r="AE54" s="164"/>
      <c r="AF54" s="62"/>
      <c r="AI54" s="315"/>
      <c r="AJ54" s="139">
        <v>34700.01</v>
      </c>
      <c r="AK54" s="140"/>
      <c r="AL54" s="116">
        <v>30</v>
      </c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</row>
    <row r="55" spans="17:59" ht="12.75">
      <c r="Q55" s="282" t="s">
        <v>87</v>
      </c>
      <c r="R55" s="282"/>
      <c r="S55" s="84">
        <v>16</v>
      </c>
      <c r="T55" s="282" t="s">
        <v>88</v>
      </c>
      <c r="U55" s="282"/>
      <c r="V55" s="282"/>
      <c r="W55" s="282"/>
      <c r="X55" s="283" t="s">
        <v>89</v>
      </c>
      <c r="Y55" s="283"/>
      <c r="Z55" s="50" t="s">
        <v>79</v>
      </c>
      <c r="AA55" s="51"/>
      <c r="AB55" s="39">
        <f>ROUND(AA54*30%,2)</f>
        <v>0</v>
      </c>
      <c r="AC55" s="2">
        <v>10</v>
      </c>
      <c r="AD55" s="175">
        <f>ROUND(AB55/AC55,2)</f>
        <v>0</v>
      </c>
      <c r="AE55" s="176"/>
      <c r="AF55" s="62"/>
      <c r="AI55" s="315"/>
      <c r="AJ55" s="139">
        <v>35000.01</v>
      </c>
      <c r="AK55" s="140"/>
      <c r="AL55" s="116">
        <v>20</v>
      </c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</row>
    <row r="56" spans="17:59" ht="12.75">
      <c r="Q56" s="57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62"/>
      <c r="AI56" s="315"/>
      <c r="AJ56" s="139">
        <v>35100.01</v>
      </c>
      <c r="AK56" s="140"/>
      <c r="AL56" s="116">
        <v>10</v>
      </c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</row>
    <row r="57" spans="17:59" ht="12.75" customHeight="1" thickBot="1">
      <c r="Q57" s="57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62"/>
      <c r="AI57" s="315"/>
      <c r="AJ57" s="141">
        <v>35200.01</v>
      </c>
      <c r="AK57" s="142"/>
      <c r="AL57" s="117">
        <v>0</v>
      </c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</row>
    <row r="58" spans="17:59" ht="12.75">
      <c r="Q58" s="74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</row>
    <row r="59" spans="35:39" ht="12.75">
      <c r="AI59" t="s">
        <v>46</v>
      </c>
      <c r="AJ59" s="19" t="s">
        <v>47</v>
      </c>
      <c r="AK59" s="171" t="s">
        <v>52</v>
      </c>
      <c r="AL59" s="18" t="s">
        <v>48</v>
      </c>
      <c r="AM59" s="18" t="s">
        <v>53</v>
      </c>
    </row>
    <row r="60" spans="36:39" ht="12.75">
      <c r="AJ60" s="86">
        <v>95000</v>
      </c>
      <c r="AK60" s="171"/>
      <c r="AL60" s="106">
        <v>15000</v>
      </c>
      <c r="AM60" s="106">
        <f>IF(AK61&gt;1,ROUND((AK61-1)*AL60,2)+AJ60,AJ60)</f>
        <v>95000</v>
      </c>
    </row>
    <row r="61" spans="36:41" ht="12.75">
      <c r="AJ61" s="18" t="s">
        <v>55</v>
      </c>
      <c r="AK61" s="87">
        <f>+N_Fgl</f>
        <v>0</v>
      </c>
      <c r="AL61" s="18" t="s">
        <v>54</v>
      </c>
      <c r="AM61" s="18" t="s">
        <v>45</v>
      </c>
      <c r="AN61" s="18"/>
      <c r="AO61" s="18" t="s">
        <v>41</v>
      </c>
    </row>
    <row r="62" spans="35:44" ht="12.75">
      <c r="AI62" t="s">
        <v>51</v>
      </c>
      <c r="AJ62" s="106">
        <f>IF(Som_fg&gt;3,1000,800)</f>
        <v>800</v>
      </c>
      <c r="AL62" s="106">
        <f>ROUND(fgl*VLOOKUP($AO$62,IndRapp,2),2)</f>
        <v>0</v>
      </c>
      <c r="AM62" s="112">
        <v>0</v>
      </c>
      <c r="AN62" s="77">
        <v>0</v>
      </c>
      <c r="AO62" s="83">
        <f>ROUND((ImFisFin-Redd_Detraz)/ImFisFin,6)</f>
        <v>1</v>
      </c>
      <c r="AQ62" s="87">
        <f>+dsfig</f>
        <v>0</v>
      </c>
      <c r="AR62" s="87">
        <f>+AQ62</f>
        <v>0</v>
      </c>
    </row>
    <row r="63" spans="35:44" ht="12.75">
      <c r="AI63" t="s">
        <v>49</v>
      </c>
      <c r="AJ63" s="106">
        <f>IF(Som_fg&gt;3,1100,900)</f>
        <v>900</v>
      </c>
      <c r="AL63" s="106">
        <f>ROUND(AJ63*VLOOKUP($AO$62,IndRapp,2),2)</f>
        <v>0</v>
      </c>
      <c r="AM63" s="113">
        <v>0.0001</v>
      </c>
      <c r="AN63" s="77">
        <f>+AO62</f>
        <v>1</v>
      </c>
      <c r="AQ63" s="87">
        <f>+dsfg3</f>
        <v>0</v>
      </c>
      <c r="AR63" s="87">
        <f>+AQ63</f>
        <v>0</v>
      </c>
    </row>
    <row r="64" spans="35:44" ht="12.75">
      <c r="AI64" t="s">
        <v>50</v>
      </c>
      <c r="AJ64" s="106">
        <v>220</v>
      </c>
      <c r="AL64" s="106">
        <f>ROUND(fglh*VLOOKUP($AO$62,IndRapp,2),2)</f>
        <v>0</v>
      </c>
      <c r="AM64" s="110">
        <v>1</v>
      </c>
      <c r="AN64" s="77">
        <v>0</v>
      </c>
      <c r="AQ64" s="87">
        <f>+dsfhc</f>
        <v>0</v>
      </c>
      <c r="AR64" s="87">
        <f>+AQ64</f>
        <v>0</v>
      </c>
    </row>
    <row r="65" spans="38:40" ht="12.75">
      <c r="AL65" s="85"/>
      <c r="AM65" s="110">
        <v>10</v>
      </c>
      <c r="AN65" s="77">
        <f>+AO62</f>
        <v>1</v>
      </c>
    </row>
    <row r="66" spans="35:38" ht="12.75">
      <c r="AI66" t="s">
        <v>57</v>
      </c>
      <c r="AJ66" s="87">
        <v>750</v>
      </c>
      <c r="AL66" s="106">
        <f>ROUND(Altri*VLOOKUP(AO67,Rapp_Altri,2),4)</f>
        <v>0</v>
      </c>
    </row>
    <row r="67" ht="12.75">
      <c r="AO67" s="83">
        <f>TRUNC((80000-Redd_Detraz)/80000,6)</f>
        <v>1</v>
      </c>
    </row>
    <row r="68" spans="35:41" ht="12.75">
      <c r="AI68" t="s">
        <v>72</v>
      </c>
      <c r="AL68" t="s">
        <v>41</v>
      </c>
      <c r="AN68" s="131">
        <v>0</v>
      </c>
      <c r="AO68" s="87">
        <v>0</v>
      </c>
    </row>
    <row r="69" spans="35:41" ht="12.75">
      <c r="AI69" s="106">
        <v>1</v>
      </c>
      <c r="AJ69" s="106">
        <v>1840</v>
      </c>
      <c r="AL69" s="83">
        <f>IF(ROUND((15000-Redd_Detraz)/7000,6)&gt;0,ROUND((15000-Redd_Detraz)/7000,6),0)</f>
        <v>2.142857</v>
      </c>
      <c r="AN69" s="132">
        <v>0.0001</v>
      </c>
      <c r="AO69" s="133">
        <f>+AO67</f>
        <v>1</v>
      </c>
    </row>
    <row r="70" spans="35:41" ht="12.75">
      <c r="AI70" s="106">
        <v>8000.01</v>
      </c>
      <c r="AJ70" s="106">
        <f>1338+ROUND(502*AL69,2)</f>
        <v>2413.71</v>
      </c>
      <c r="AL70">
        <f>ROUND((55000-Redd_Detraz)/40000,6)</f>
        <v>1.375</v>
      </c>
      <c r="AN70" s="107">
        <v>1</v>
      </c>
      <c r="AO70" s="87">
        <v>0</v>
      </c>
    </row>
    <row r="71" spans="35:41" ht="12.75">
      <c r="AI71" s="106">
        <v>15000.01</v>
      </c>
      <c r="AJ71" s="106">
        <f>ROUND(1338*AL70,2)</f>
        <v>1839.75</v>
      </c>
      <c r="AN71" s="107">
        <v>10</v>
      </c>
      <c r="AO71" s="133">
        <f>+AO67</f>
        <v>1</v>
      </c>
    </row>
    <row r="72" spans="35:41" ht="12.75">
      <c r="AI72" s="106">
        <v>55000.01</v>
      </c>
      <c r="AJ72" s="106">
        <v>0</v>
      </c>
      <c r="AN72" s="12"/>
      <c r="AO72" s="83"/>
    </row>
    <row r="73" spans="35:36" ht="12.75">
      <c r="AI73" s="106">
        <v>100000000</v>
      </c>
      <c r="AJ73" s="106">
        <v>0</v>
      </c>
    </row>
    <row r="75" spans="35:36" ht="12.75">
      <c r="AI75" s="108">
        <v>0</v>
      </c>
      <c r="AJ75" s="87">
        <v>0</v>
      </c>
    </row>
    <row r="76" spans="35:36" ht="12.75">
      <c r="AI76" s="108">
        <v>23000.01</v>
      </c>
      <c r="AJ76" s="87">
        <v>10</v>
      </c>
    </row>
    <row r="77" spans="35:36" ht="12.75">
      <c r="AI77" s="108">
        <v>24000.01</v>
      </c>
      <c r="AJ77" s="87">
        <v>20</v>
      </c>
    </row>
    <row r="78" spans="35:36" ht="12.75">
      <c r="AI78" s="108">
        <v>25000.01</v>
      </c>
      <c r="AJ78" s="87">
        <v>30</v>
      </c>
    </row>
    <row r="79" spans="35:36" ht="12.75">
      <c r="AI79" s="108">
        <v>26000.01</v>
      </c>
      <c r="AJ79" s="87">
        <v>40</v>
      </c>
    </row>
    <row r="80" spans="35:36" ht="12.75">
      <c r="AI80" s="108">
        <v>27700.01</v>
      </c>
      <c r="AJ80" s="87">
        <v>25</v>
      </c>
    </row>
    <row r="81" spans="1:36" ht="12.75">
      <c r="A81" s="4"/>
      <c r="AI81" s="108">
        <v>28000.01</v>
      </c>
      <c r="AJ81" s="87">
        <v>0</v>
      </c>
    </row>
    <row r="111" ht="12.75">
      <c r="A111" s="4" t="s">
        <v>100</v>
      </c>
    </row>
    <row r="124" ht="12.75">
      <c r="A124" s="90"/>
    </row>
  </sheetData>
  <sheetProtection password="BE24" sheet="1" objects="1" scenarios="1" selectLockedCells="1"/>
  <mergeCells count="164">
    <mergeCell ref="O50:P50"/>
    <mergeCell ref="X12:AA12"/>
    <mergeCell ref="H11:K11"/>
    <mergeCell ref="X11:AA11"/>
    <mergeCell ref="O48:P48"/>
    <mergeCell ref="O49:P49"/>
    <mergeCell ref="A37:L37"/>
    <mergeCell ref="A38:L38"/>
    <mergeCell ref="H24:J24"/>
    <mergeCell ref="H12:K12"/>
    <mergeCell ref="E9:G9"/>
    <mergeCell ref="H9:K9"/>
    <mergeCell ref="E10:G10"/>
    <mergeCell ref="H10:K10"/>
    <mergeCell ref="M6:P6"/>
    <mergeCell ref="O47:P47"/>
    <mergeCell ref="A39:L39"/>
    <mergeCell ref="A40:P40"/>
    <mergeCell ref="A41:L41"/>
    <mergeCell ref="A42:P42"/>
    <mergeCell ref="A35:P35"/>
    <mergeCell ref="A36:P36"/>
    <mergeCell ref="E11:G11"/>
    <mergeCell ref="E12:G12"/>
    <mergeCell ref="A43:F43"/>
    <mergeCell ref="I43:L43"/>
    <mergeCell ref="K44:N44"/>
    <mergeCell ref="O46:P46"/>
    <mergeCell ref="A46:N46"/>
    <mergeCell ref="M25:O27"/>
    <mergeCell ref="B24:D24"/>
    <mergeCell ref="E24:G24"/>
    <mergeCell ref="P25:P27"/>
    <mergeCell ref="A33:C33"/>
    <mergeCell ref="K33:O34"/>
    <mergeCell ref="P33:P34"/>
    <mergeCell ref="M28:P29"/>
    <mergeCell ref="E13:G13"/>
    <mergeCell ref="E14:G14"/>
    <mergeCell ref="E15:G15"/>
    <mergeCell ref="H15:K15"/>
    <mergeCell ref="H14:K14"/>
    <mergeCell ref="H13:K13"/>
    <mergeCell ref="E8:G8"/>
    <mergeCell ref="H8:K8"/>
    <mergeCell ref="D5:I5"/>
    <mergeCell ref="J5:L5"/>
    <mergeCell ref="C6:G6"/>
    <mergeCell ref="A7:G7"/>
    <mergeCell ref="H7:L7"/>
    <mergeCell ref="A6:B6"/>
    <mergeCell ref="I6:K6"/>
    <mergeCell ref="N5:P5"/>
    <mergeCell ref="A1:P1"/>
    <mergeCell ref="A2:P2"/>
    <mergeCell ref="A3:P3"/>
    <mergeCell ref="J4:K4"/>
    <mergeCell ref="B4:G4"/>
    <mergeCell ref="Q1:AF1"/>
    <mergeCell ref="Q2:AF2"/>
    <mergeCell ref="AF33:AF34"/>
    <mergeCell ref="U15:W15"/>
    <mergeCell ref="Q7:W7"/>
    <mergeCell ref="Q6:S6"/>
    <mergeCell ref="Q20:AF20"/>
    <mergeCell ref="U10:W10"/>
    <mergeCell ref="U11:W11"/>
    <mergeCell ref="U12:W12"/>
    <mergeCell ref="AH36:AH37"/>
    <mergeCell ref="AH40:AH41"/>
    <mergeCell ref="AI1:AL1"/>
    <mergeCell ref="AI12:AM12"/>
    <mergeCell ref="AI19:AI57"/>
    <mergeCell ref="AJ19:AJ37"/>
    <mergeCell ref="AJ39:AJ42"/>
    <mergeCell ref="Q3:AF3"/>
    <mergeCell ref="T5:Y5"/>
    <mergeCell ref="Z5:AB5"/>
    <mergeCell ref="AK59:AK60"/>
    <mergeCell ref="Q40:AF40"/>
    <mergeCell ref="AA54:AB54"/>
    <mergeCell ref="AE49:AF49"/>
    <mergeCell ref="AE47:AF47"/>
    <mergeCell ref="AA52:AB52"/>
    <mergeCell ref="AD53:AE53"/>
    <mergeCell ref="AD55:AE55"/>
    <mergeCell ref="AD54:AE54"/>
    <mergeCell ref="Q42:AF42"/>
    <mergeCell ref="Q52:T52"/>
    <mergeCell ref="AA53:AB53"/>
    <mergeCell ref="X53:Z53"/>
    <mergeCell ref="U52:W52"/>
    <mergeCell ref="Q53:T53"/>
    <mergeCell ref="Q54:T54"/>
    <mergeCell ref="Q55:R55"/>
    <mergeCell ref="AC25:AE27"/>
    <mergeCell ref="AA33:AE34"/>
    <mergeCell ref="AD52:AE52"/>
    <mergeCell ref="AE48:AF48"/>
    <mergeCell ref="AE46:AF46"/>
    <mergeCell ref="Y43:AB43"/>
    <mergeCell ref="AA44:AD44"/>
    <mergeCell ref="X52:Z52"/>
    <mergeCell ref="Q33:S33"/>
    <mergeCell ref="Q21:S21"/>
    <mergeCell ref="Q43:V43"/>
    <mergeCell ref="Q39:AB39"/>
    <mergeCell ref="Q36:AF36"/>
    <mergeCell ref="AF25:AF27"/>
    <mergeCell ref="R24:T24"/>
    <mergeCell ref="U24:W24"/>
    <mergeCell ref="X24:Z24"/>
    <mergeCell ref="Q35:AF35"/>
    <mergeCell ref="T55:W55"/>
    <mergeCell ref="X55:Y55"/>
    <mergeCell ref="X14:AA14"/>
    <mergeCell ref="U13:W13"/>
    <mergeCell ref="X13:AA13"/>
    <mergeCell ref="X17:AA17"/>
    <mergeCell ref="X54:Z54"/>
    <mergeCell ref="U17:W17"/>
    <mergeCell ref="Q41:AB41"/>
    <mergeCell ref="Q38:AB38"/>
    <mergeCell ref="AU1:AW2"/>
    <mergeCell ref="AU21:AW25"/>
    <mergeCell ref="AU4:AW4"/>
    <mergeCell ref="AU5:AW5"/>
    <mergeCell ref="AU3:AW3"/>
    <mergeCell ref="X15:AA15"/>
    <mergeCell ref="U9:W9"/>
    <mergeCell ref="X7:AB7"/>
    <mergeCell ref="X9:AA9"/>
    <mergeCell ref="X10:AA10"/>
    <mergeCell ref="U8:W8"/>
    <mergeCell ref="X8:AA8"/>
    <mergeCell ref="Z4:AA4"/>
    <mergeCell ref="V6:Z6"/>
    <mergeCell ref="AB6:AC6"/>
    <mergeCell ref="T6:U6"/>
    <mergeCell ref="AD5:AF5"/>
    <mergeCell ref="AU30:AW38"/>
    <mergeCell ref="A15:D15"/>
    <mergeCell ref="A14:D14"/>
    <mergeCell ref="U14:W14"/>
    <mergeCell ref="E17:G17"/>
    <mergeCell ref="A20:P20"/>
    <mergeCell ref="X16:AA16"/>
    <mergeCell ref="A21:C21"/>
    <mergeCell ref="AC16:AD16"/>
    <mergeCell ref="A47:N47"/>
    <mergeCell ref="Q16:T16"/>
    <mergeCell ref="U16:W16"/>
    <mergeCell ref="H17:K17"/>
    <mergeCell ref="H16:K16"/>
    <mergeCell ref="A16:D16"/>
    <mergeCell ref="E16:G16"/>
    <mergeCell ref="H18:K18"/>
    <mergeCell ref="A17:D17"/>
    <mergeCell ref="Q37:AB37"/>
    <mergeCell ref="A48:N48"/>
    <mergeCell ref="A49:N49"/>
    <mergeCell ref="A50:D50"/>
    <mergeCell ref="E50:F50"/>
    <mergeCell ref="K50:N50"/>
  </mergeCells>
  <conditionalFormatting sqref="Z27">
    <cfRule type="expression" priority="1" dxfId="0" stopIfTrue="1">
      <formula>$T$23&gt;2</formula>
    </cfRule>
  </conditionalFormatting>
  <conditionalFormatting sqref="Z28">
    <cfRule type="expression" priority="2" dxfId="0" stopIfTrue="1">
      <formula>$T$23&gt;3</formula>
    </cfRule>
  </conditionalFormatting>
  <conditionalFormatting sqref="Z29">
    <cfRule type="expression" priority="3" dxfId="0" stopIfTrue="1">
      <formula>$T$23&gt;4</formula>
    </cfRule>
  </conditionalFormatting>
  <conditionalFormatting sqref="Z30">
    <cfRule type="expression" priority="4" dxfId="0" stopIfTrue="1">
      <formula>$T$23&gt;5</formula>
    </cfRule>
  </conditionalFormatting>
  <conditionalFormatting sqref="Z31">
    <cfRule type="expression" priority="5" dxfId="0" stopIfTrue="1">
      <formula>$T$23&gt;6</formula>
    </cfRule>
  </conditionalFormatting>
  <conditionalFormatting sqref="AB25">
    <cfRule type="expression" priority="6" dxfId="1" stopIfTrue="1">
      <formula>$T$23&gt;0</formula>
    </cfRule>
  </conditionalFormatting>
  <conditionalFormatting sqref="AB26">
    <cfRule type="expression" priority="7" dxfId="1" stopIfTrue="1">
      <formula>$T$23&gt;1</formula>
    </cfRule>
  </conditionalFormatting>
  <conditionalFormatting sqref="AB27">
    <cfRule type="expression" priority="8" dxfId="1" stopIfTrue="1">
      <formula>$T$23&gt;2</formula>
    </cfRule>
  </conditionalFormatting>
  <conditionalFormatting sqref="AB28">
    <cfRule type="expression" priority="9" dxfId="1" stopIfTrue="1">
      <formula>$T$23&gt;3</formula>
    </cfRule>
  </conditionalFormatting>
  <conditionalFormatting sqref="AB29">
    <cfRule type="expression" priority="10" dxfId="1" stopIfTrue="1">
      <formula>$T$23&gt;4</formula>
    </cfRule>
  </conditionalFormatting>
  <conditionalFormatting sqref="AB30">
    <cfRule type="expression" priority="11" dxfId="1" stopIfTrue="1">
      <formula>$T$23&gt;5</formula>
    </cfRule>
  </conditionalFormatting>
  <conditionalFormatting sqref="AB31">
    <cfRule type="expression" priority="12" dxfId="1" stopIfTrue="1">
      <formula>$T$23&gt;6</formula>
    </cfRule>
  </conditionalFormatting>
  <conditionalFormatting sqref="Q26">
    <cfRule type="expression" priority="13" dxfId="2" stopIfTrue="1">
      <formula>$T$23&gt;1</formula>
    </cfRule>
  </conditionalFormatting>
  <conditionalFormatting sqref="Q25 T25 W25 Z25 G25 D25">
    <cfRule type="expression" priority="14" dxfId="2" stopIfTrue="1">
      <formula>$T$23&gt;0</formula>
    </cfRule>
  </conditionalFormatting>
  <conditionalFormatting sqref="R25 J25:K25">
    <cfRule type="expression" priority="15" dxfId="3" stopIfTrue="1">
      <formula>$T$23&gt;0</formula>
    </cfRule>
  </conditionalFormatting>
  <conditionalFormatting sqref="U25 X25 E25 H25">
    <cfRule type="expression" priority="16" dxfId="4" stopIfTrue="1">
      <formula>$T$23&gt;0</formula>
    </cfRule>
  </conditionalFormatting>
  <conditionalFormatting sqref="Y21">
    <cfRule type="expression" priority="17" dxfId="5" stopIfTrue="1">
      <formula>$T$21="si"</formula>
    </cfRule>
  </conditionalFormatting>
  <conditionalFormatting sqref="AD23 AA25 C25 F25 I25 V25:V31 S25:S31 Y25:Y31">
    <cfRule type="expression" priority="18" dxfId="5" stopIfTrue="1">
      <formula>$T$23&gt;0</formula>
    </cfRule>
  </conditionalFormatting>
  <conditionalFormatting sqref="AF23">
    <cfRule type="expression" priority="19" dxfId="5" stopIfTrue="1">
      <formula>$AD$23&gt;0</formula>
    </cfRule>
  </conditionalFormatting>
  <conditionalFormatting sqref="F26 C26 I26 AA26">
    <cfRule type="expression" priority="20" dxfId="5" stopIfTrue="1">
      <formula>$T$23&gt;1</formula>
    </cfRule>
  </conditionalFormatting>
  <conditionalFormatting sqref="F27 C27 I27 AA27">
    <cfRule type="expression" priority="21" dxfId="5" stopIfTrue="1">
      <formula>$T$23&gt;2</formula>
    </cfRule>
  </conditionalFormatting>
  <conditionalFormatting sqref="F28 C28 I28 AA28">
    <cfRule type="expression" priority="22" dxfId="5" stopIfTrue="1">
      <formula>$T$23&gt;3</formula>
    </cfRule>
  </conditionalFormatting>
  <conditionalFormatting sqref="F29 C29 I29 AA29">
    <cfRule type="expression" priority="23" dxfId="5" stopIfTrue="1">
      <formula>$T$23&gt;4</formula>
    </cfRule>
  </conditionalFormatting>
  <conditionalFormatting sqref="AA30">
    <cfRule type="expression" priority="24" dxfId="5" stopIfTrue="1">
      <formula>$T$23&gt;5</formula>
    </cfRule>
  </conditionalFormatting>
  <conditionalFormatting sqref="AA31">
    <cfRule type="expression" priority="25" dxfId="5" stopIfTrue="1">
      <formula>$T$23&gt;6</formula>
    </cfRule>
  </conditionalFormatting>
  <conditionalFormatting sqref="Y34">
    <cfRule type="expression" priority="26" dxfId="5" stopIfTrue="1">
      <formula>$T$33="si"</formula>
    </cfRule>
  </conditionalFormatting>
  <conditionalFormatting sqref="Y33 AF33:AF34 P33:P34">
    <cfRule type="expression" priority="27" dxfId="5" stopIfTrue="1">
      <formula>$T$33&gt;0</formula>
    </cfRule>
  </conditionalFormatting>
  <conditionalFormatting sqref="AA33:AE34 K33:O34">
    <cfRule type="expression" priority="28" dxfId="1" stopIfTrue="1">
      <formula>$T$33&gt;0</formula>
    </cfRule>
  </conditionalFormatting>
  <conditionalFormatting sqref="R26 T26:U26 W26:X26 Z26 G26:H26 D26:E26 J26:K26">
    <cfRule type="expression" priority="29" dxfId="3" stopIfTrue="1">
      <formula>$T$23&gt;1</formula>
    </cfRule>
  </conditionalFormatting>
  <conditionalFormatting sqref="R27 T27:U27 W27:X27 G27:H27 D27:E27 J27:K27">
    <cfRule type="expression" priority="30" dxfId="3" stopIfTrue="1">
      <formula>$T$23&gt;2</formula>
    </cfRule>
  </conditionalFormatting>
  <conditionalFormatting sqref="Q27">
    <cfRule type="expression" priority="31" dxfId="2" stopIfTrue="1">
      <formula>$T$23&gt;2</formula>
    </cfRule>
  </conditionalFormatting>
  <conditionalFormatting sqref="Q28">
    <cfRule type="expression" priority="32" dxfId="2" stopIfTrue="1">
      <formula>$T$23&gt;3</formula>
    </cfRule>
  </conditionalFormatting>
  <conditionalFormatting sqref="R28 T28:U28 W28:X28 G28:H28 D28:E28 J28:K28">
    <cfRule type="expression" priority="33" dxfId="3" stopIfTrue="1">
      <formula>$T$23&gt;3</formula>
    </cfRule>
  </conditionalFormatting>
  <conditionalFormatting sqref="Q29">
    <cfRule type="expression" priority="34" dxfId="2" stopIfTrue="1">
      <formula>$T$23&gt;4</formula>
    </cfRule>
  </conditionalFormatting>
  <conditionalFormatting sqref="R29 T29:U29 W29:X29 G29:H29 D29:E29 J29:K29">
    <cfRule type="expression" priority="35" dxfId="3" stopIfTrue="1">
      <formula>$T$23&gt;4</formula>
    </cfRule>
  </conditionalFormatting>
  <conditionalFormatting sqref="Q30">
    <cfRule type="expression" priority="36" dxfId="2" stopIfTrue="1">
      <formula>$T$23&gt;5</formula>
    </cfRule>
  </conditionalFormatting>
  <conditionalFormatting sqref="R30 T30:U30 W30:X30">
    <cfRule type="expression" priority="37" dxfId="3" stopIfTrue="1">
      <formula>$T$23&gt;5</formula>
    </cfRule>
  </conditionalFormatting>
  <conditionalFormatting sqref="Q31">
    <cfRule type="expression" priority="38" dxfId="2" stopIfTrue="1">
      <formula>$T$23&gt;6</formula>
    </cfRule>
  </conditionalFormatting>
  <conditionalFormatting sqref="R31 T31:U31 W31:X31">
    <cfRule type="expression" priority="39" dxfId="3" stopIfTrue="1">
      <formula>$T$23&gt;6</formula>
    </cfRule>
  </conditionalFormatting>
  <conditionalFormatting sqref="L25">
    <cfRule type="expression" priority="40" dxfId="1" stopIfTrue="1">
      <formula>$D$23&gt;0</formula>
    </cfRule>
  </conditionalFormatting>
  <conditionalFormatting sqref="N23">
    <cfRule type="expression" priority="41" dxfId="5" stopIfTrue="1">
      <formula>$D$23&gt;0</formula>
    </cfRule>
  </conditionalFormatting>
  <conditionalFormatting sqref="C30 F30 I30">
    <cfRule type="expression" priority="42" dxfId="5" stopIfTrue="1">
      <formula>$D$23&gt;5</formula>
    </cfRule>
  </conditionalFormatting>
  <conditionalFormatting sqref="C31 F31 I31">
    <cfRule type="expression" priority="43" dxfId="5" stopIfTrue="1">
      <formula>$D$23&gt;6</formula>
    </cfRule>
  </conditionalFormatting>
  <conditionalFormatting sqref="I34">
    <cfRule type="expression" priority="44" dxfId="5" stopIfTrue="1">
      <formula>$D$33="si"</formula>
    </cfRule>
  </conditionalFormatting>
  <conditionalFormatting sqref="A30">
    <cfRule type="expression" priority="45" dxfId="2" stopIfTrue="1">
      <formula>$D$23&gt;5</formula>
    </cfRule>
  </conditionalFormatting>
  <conditionalFormatting sqref="G30:H30 D30:E30 B30 J30:K30">
    <cfRule type="expression" priority="46" dxfId="3" stopIfTrue="1">
      <formula>$D$23&gt;5</formula>
    </cfRule>
  </conditionalFormatting>
  <conditionalFormatting sqref="A31">
    <cfRule type="expression" priority="47" dxfId="2" stopIfTrue="1">
      <formula>$D$23&gt;6</formula>
    </cfRule>
  </conditionalFormatting>
  <conditionalFormatting sqref="G31:H31 D31:E31 B31 J31:K31">
    <cfRule type="expression" priority="48" dxfId="3" stopIfTrue="1">
      <formula>$D$23&gt;6</formula>
    </cfRule>
  </conditionalFormatting>
  <conditionalFormatting sqref="A26">
    <cfRule type="expression" priority="49" dxfId="2" stopIfTrue="1">
      <formula>$D$23&gt;1</formula>
    </cfRule>
  </conditionalFormatting>
  <conditionalFormatting sqref="A25">
    <cfRule type="expression" priority="50" dxfId="2" stopIfTrue="1">
      <formula>$D$23&gt;0</formula>
    </cfRule>
  </conditionalFormatting>
  <conditionalFormatting sqref="B25">
    <cfRule type="expression" priority="51" dxfId="3" stopIfTrue="1">
      <formula>$D$23&gt;0</formula>
    </cfRule>
  </conditionalFormatting>
  <conditionalFormatting sqref="B26">
    <cfRule type="expression" priority="52" dxfId="3" stopIfTrue="1">
      <formula>$D$23&gt;1</formula>
    </cfRule>
  </conditionalFormatting>
  <conditionalFormatting sqref="B27">
    <cfRule type="expression" priority="53" dxfId="3" stopIfTrue="1">
      <formula>$D$23&gt;2</formula>
    </cfRule>
  </conditionalFormatting>
  <conditionalFormatting sqref="A27">
    <cfRule type="expression" priority="54" dxfId="2" stopIfTrue="1">
      <formula>$D$23&gt;2</formula>
    </cfRule>
  </conditionalFormatting>
  <conditionalFormatting sqref="A28">
    <cfRule type="expression" priority="55" dxfId="2" stopIfTrue="1">
      <formula>$D$23&gt;3</formula>
    </cfRule>
  </conditionalFormatting>
  <conditionalFormatting sqref="B28">
    <cfRule type="expression" priority="56" dxfId="3" stopIfTrue="1">
      <formula>$D$23&gt;3</formula>
    </cfRule>
  </conditionalFormatting>
  <conditionalFormatting sqref="A29">
    <cfRule type="expression" priority="57" dxfId="2" stopIfTrue="1">
      <formula>$D$23&gt;4</formula>
    </cfRule>
  </conditionalFormatting>
  <conditionalFormatting sqref="B29">
    <cfRule type="expression" priority="58" dxfId="3" stopIfTrue="1">
      <formula>$D$23&gt;4</formula>
    </cfRule>
  </conditionalFormatting>
  <conditionalFormatting sqref="L27">
    <cfRule type="expression" priority="59" dxfId="1" stopIfTrue="1">
      <formula>$D$23&gt;2</formula>
    </cfRule>
  </conditionalFormatting>
  <conditionalFormatting sqref="L28">
    <cfRule type="expression" priority="60" dxfId="1" stopIfTrue="1">
      <formula>$D$23&gt;3</formula>
    </cfRule>
  </conditionalFormatting>
  <conditionalFormatting sqref="L29">
    <cfRule type="expression" priority="61" dxfId="1" stopIfTrue="1">
      <formula>$D$23&gt;4</formula>
    </cfRule>
  </conditionalFormatting>
  <conditionalFormatting sqref="L30">
    <cfRule type="expression" priority="62" dxfId="1" stopIfTrue="1">
      <formula>$D$23&gt;5</formula>
    </cfRule>
  </conditionalFormatting>
  <conditionalFormatting sqref="L31">
    <cfRule type="expression" priority="63" dxfId="1" stopIfTrue="1">
      <formula>$D$23&gt;6</formula>
    </cfRule>
  </conditionalFormatting>
  <conditionalFormatting sqref="L26">
    <cfRule type="expression" priority="64" dxfId="1" stopIfTrue="1">
      <formula>$D$23&gt;1</formula>
    </cfRule>
  </conditionalFormatting>
  <printOptions/>
  <pageMargins left="0.1968503937007874" right="0" top="0.984251968503937" bottom="0.5905511811023623" header="0.5118110236220472" footer="0.5118110236220472"/>
  <pageSetup blackAndWhite="1" horizontalDpi="360" verticalDpi="360" orientation="portrait" paperSize="9" scale="9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23"/>
  <dimension ref="A1:BG124"/>
  <sheetViews>
    <sheetView workbookViewId="0" topLeftCell="A1">
      <selection activeCell="E8" sqref="E8:G8"/>
    </sheetView>
  </sheetViews>
  <sheetFormatPr defaultColWidth="9.33203125" defaultRowHeight="12.75"/>
  <cols>
    <col min="1" max="1" width="15.5" style="0" customWidth="1"/>
    <col min="2" max="10" width="4.83203125" style="0" customWidth="1"/>
    <col min="11" max="11" width="11.66015625" style="0" bestFit="1" customWidth="1"/>
    <col min="12" max="13" width="11.83203125" style="0" customWidth="1"/>
    <col min="14" max="14" width="4.83203125" style="0" customWidth="1"/>
    <col min="15" max="15" width="12.83203125" style="0" customWidth="1"/>
    <col min="16" max="16" width="9.16015625" style="0" customWidth="1"/>
    <col min="17" max="17" width="15.5" style="0" hidden="1" customWidth="1"/>
    <col min="18" max="26" width="4.83203125" style="0" hidden="1" customWidth="1"/>
    <col min="27" max="27" width="11.66015625" style="0" hidden="1" customWidth="1"/>
    <col min="28" max="29" width="11.83203125" style="0" hidden="1" customWidth="1"/>
    <col min="30" max="30" width="4.83203125" style="0" hidden="1" customWidth="1"/>
    <col min="31" max="31" width="12.83203125" style="0" hidden="1" customWidth="1"/>
    <col min="32" max="32" width="11" style="0" hidden="1" customWidth="1"/>
    <col min="33" max="33" width="5.16015625" style="0" hidden="1" customWidth="1"/>
    <col min="34" max="34" width="10.5" style="0" hidden="1" customWidth="1"/>
    <col min="35" max="35" width="15.16015625" style="0" hidden="1" customWidth="1"/>
    <col min="36" max="36" width="16.83203125" style="0" hidden="1" customWidth="1"/>
    <col min="37" max="37" width="6.66015625" style="0" hidden="1" customWidth="1"/>
    <col min="38" max="38" width="12.83203125" style="0" hidden="1" customWidth="1"/>
    <col min="39" max="39" width="11.5" style="0" hidden="1" customWidth="1"/>
    <col min="40" max="45" width="0" style="0" hidden="1" customWidth="1"/>
    <col min="46" max="46" width="3.66015625" style="0" customWidth="1"/>
    <col min="49" max="49" width="13.66015625" style="0" customWidth="1"/>
  </cols>
  <sheetData>
    <row r="1" spans="1:59" ht="16.5" thickTop="1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3"/>
      <c r="Q1" s="201" t="s">
        <v>0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3"/>
      <c r="AI1" s="185" t="s">
        <v>29</v>
      </c>
      <c r="AJ1" s="185"/>
      <c r="AK1" s="185"/>
      <c r="AL1" s="185"/>
      <c r="AM1" s="135" t="s">
        <v>68</v>
      </c>
      <c r="AT1" s="77"/>
      <c r="AU1" s="247" t="s">
        <v>84</v>
      </c>
      <c r="AV1" s="248"/>
      <c r="AW1" s="249"/>
      <c r="AX1" s="77"/>
      <c r="AY1" s="77"/>
      <c r="AZ1" s="77"/>
      <c r="BA1" s="77"/>
      <c r="BB1" s="77"/>
      <c r="BC1" s="77"/>
      <c r="BD1" s="77"/>
      <c r="BE1" s="77"/>
      <c r="BF1" s="77"/>
      <c r="BG1" s="77"/>
    </row>
    <row r="2" spans="1:59" ht="15.75">
      <c r="A2" s="350" t="str">
        <f>+Gen!A2</f>
        <v>TRIBUNALE DI TERMINI IMERESE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2"/>
      <c r="Q2" s="204" t="s">
        <v>1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6"/>
      <c r="AI2" s="5" t="s">
        <v>30</v>
      </c>
      <c r="AJ2" s="5" t="s">
        <v>31</v>
      </c>
      <c r="AK2" s="6" t="s">
        <v>18</v>
      </c>
      <c r="AL2" s="5" t="s">
        <v>37</v>
      </c>
      <c r="AN2" s="134"/>
      <c r="AT2" s="77"/>
      <c r="AU2" s="250"/>
      <c r="AV2" s="251"/>
      <c r="AW2" s="252"/>
      <c r="AX2" s="77"/>
      <c r="AY2" s="77"/>
      <c r="AZ2" s="77"/>
      <c r="BA2" s="77"/>
      <c r="BB2" s="77"/>
      <c r="BC2" s="77"/>
      <c r="BD2" s="77"/>
      <c r="BE2" s="77"/>
      <c r="BF2" s="77"/>
      <c r="BG2" s="77"/>
    </row>
    <row r="3" spans="1:59" ht="15.75">
      <c r="A3" s="207" t="s">
        <v>110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9"/>
      <c r="Q3" s="207" t="s">
        <v>85</v>
      </c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9"/>
      <c r="AI3" s="7">
        <v>1</v>
      </c>
      <c r="AJ3" s="7">
        <f>+Aliquote!C6</f>
        <v>15000</v>
      </c>
      <c r="AK3" s="8">
        <f>+Aliquote!D6</f>
        <v>0.23</v>
      </c>
      <c r="AL3" s="9"/>
      <c r="AT3" s="77"/>
      <c r="AU3" s="268"/>
      <c r="AV3" s="269"/>
      <c r="AW3" s="270"/>
      <c r="AX3" s="77"/>
      <c r="AY3" s="77"/>
      <c r="AZ3" s="77"/>
      <c r="BA3" s="77"/>
      <c r="BB3" s="77"/>
      <c r="BC3" s="77"/>
      <c r="BD3" s="77"/>
      <c r="BE3" s="77"/>
      <c r="BF3" s="77"/>
      <c r="BG3" s="77"/>
    </row>
    <row r="4" spans="1:59" ht="12.75" customHeight="1">
      <c r="A4" s="150" t="s">
        <v>138</v>
      </c>
      <c r="B4" s="163" t="str">
        <f>IF(Gen!B4&gt;0,Gen!B4,Vuota1)</f>
        <v>        </v>
      </c>
      <c r="C4" s="154"/>
      <c r="D4" s="154"/>
      <c r="E4" s="154"/>
      <c r="F4" s="154"/>
      <c r="G4" s="164"/>
      <c r="H4" s="58"/>
      <c r="I4" s="58"/>
      <c r="J4" s="345" t="s">
        <v>120</v>
      </c>
      <c r="K4" s="346"/>
      <c r="L4" s="149">
        <f>IF(Gen!L4&gt;0,Gen!L4,Vuota1)</f>
        <v>2007</v>
      </c>
      <c r="M4" s="20"/>
      <c r="N4" s="58"/>
      <c r="O4" s="58"/>
      <c r="P4" s="33"/>
      <c r="Q4" s="20"/>
      <c r="R4" s="58"/>
      <c r="S4" s="58"/>
      <c r="T4" s="58"/>
      <c r="U4" s="58"/>
      <c r="V4" s="58"/>
      <c r="W4" s="58"/>
      <c r="X4" s="58"/>
      <c r="Y4" s="58"/>
      <c r="Z4" s="213" t="s">
        <v>2</v>
      </c>
      <c r="AA4" s="213"/>
      <c r="AB4" s="2">
        <v>2007</v>
      </c>
      <c r="AC4" s="20"/>
      <c r="AD4" s="58"/>
      <c r="AE4" s="58"/>
      <c r="AF4" s="33"/>
      <c r="AI4" s="7">
        <f>+AJ3+0.01</f>
        <v>15000.01</v>
      </c>
      <c r="AJ4" s="7">
        <f>+Aliquote!C7</f>
        <v>28000</v>
      </c>
      <c r="AK4" s="8">
        <f>+Aliquote!D7</f>
        <v>0.27</v>
      </c>
      <c r="AL4" s="7">
        <f>ROUND(AI4*AK3,2)</f>
        <v>3450</v>
      </c>
      <c r="AT4" s="77"/>
      <c r="AU4" s="262" t="s">
        <v>81</v>
      </c>
      <c r="AV4" s="263"/>
      <c r="AW4" s="264"/>
      <c r="AX4" s="77"/>
      <c r="AY4" s="77"/>
      <c r="AZ4" s="77"/>
      <c r="BA4" s="77"/>
      <c r="BB4" s="77"/>
      <c r="BC4" s="77"/>
      <c r="BD4" s="77"/>
      <c r="BE4" s="77"/>
      <c r="BF4" s="77"/>
      <c r="BG4" s="77"/>
    </row>
    <row r="5" spans="1:59" ht="16.5" thickBot="1">
      <c r="A5" s="59" t="s">
        <v>3</v>
      </c>
      <c r="B5" s="60"/>
      <c r="C5" s="52" t="str">
        <f>IF(Gen!C5&gt;0,Gen!C5,Vuota1)</f>
        <v>C1</v>
      </c>
      <c r="D5" s="347" t="str">
        <f>IF(Gen!D5&gt;0,Gen!D5,Vuota1)</f>
        <v>        </v>
      </c>
      <c r="E5" s="348" t="e">
        <f>IF(#REF!&gt;0,#REF!,Vuota1)</f>
        <v>#REF!</v>
      </c>
      <c r="F5" s="348" t="e">
        <f>IF(#REF!&gt;0,#REF!,Vuota1)</f>
        <v>#REF!</v>
      </c>
      <c r="G5" s="348" t="e">
        <f>IF(#REF!&gt;0,#REF!,Vuota1)</f>
        <v>#REF!</v>
      </c>
      <c r="H5" s="348" t="e">
        <f>IF(#REF!&gt;0,#REF!,Vuota1)</f>
        <v>#REF!</v>
      </c>
      <c r="I5" s="348" t="e">
        <f>IF(#REF!&gt;0,#REF!,Vuota1)</f>
        <v>#REF!</v>
      </c>
      <c r="J5" s="348" t="str">
        <f>IF(Gen!J5&gt;0,Gen!J5,Vuota1)</f>
        <v>        </v>
      </c>
      <c r="K5" s="348" t="e">
        <f>IF(#REF!&gt;0,#REF!,Vuota1)</f>
        <v>#REF!</v>
      </c>
      <c r="L5" s="349" t="e">
        <f>IF(#REF!&gt;0,#REF!,Vuota1)</f>
        <v>#REF!</v>
      </c>
      <c r="M5" s="61" t="s">
        <v>5</v>
      </c>
      <c r="N5" s="163" t="str">
        <f>IF(Gen!N5&gt;0,Gen!N5,Vuota1)</f>
        <v>        </v>
      </c>
      <c r="O5" s="154" t="e">
        <f>IF(#REF!&gt;0,#REF!,Vuota1)</f>
        <v>#REF!</v>
      </c>
      <c r="P5" s="164" t="e">
        <f>IF(#REF!&gt;0,#REF!,Vuota1)</f>
        <v>#REF!</v>
      </c>
      <c r="Q5" s="59" t="s">
        <v>3</v>
      </c>
      <c r="R5" s="60"/>
      <c r="S5" s="2" t="s">
        <v>4</v>
      </c>
      <c r="T5" s="211"/>
      <c r="U5" s="211"/>
      <c r="V5" s="211"/>
      <c r="W5" s="211"/>
      <c r="X5" s="211"/>
      <c r="Y5" s="211"/>
      <c r="Z5" s="211"/>
      <c r="AA5" s="211"/>
      <c r="AB5" s="313"/>
      <c r="AC5" s="61" t="s">
        <v>5</v>
      </c>
      <c r="AD5" s="214"/>
      <c r="AE5" s="215"/>
      <c r="AF5" s="216"/>
      <c r="AH5" s="21"/>
      <c r="AI5" s="7">
        <f>+AJ4+0.01</f>
        <v>28000.01</v>
      </c>
      <c r="AJ5" s="7">
        <f>+Aliquote!C8</f>
        <v>55000</v>
      </c>
      <c r="AK5" s="8">
        <f>+Aliquote!D8</f>
        <v>0.38</v>
      </c>
      <c r="AL5" s="7">
        <f>ROUND((AI5-AI4)*AK4,2)+AL4</f>
        <v>6960</v>
      </c>
      <c r="AT5" s="77"/>
      <c r="AU5" s="265" t="s">
        <v>82</v>
      </c>
      <c r="AV5" s="266"/>
      <c r="AW5" s="267"/>
      <c r="AX5" s="77"/>
      <c r="AY5" s="77"/>
      <c r="AZ5" s="77"/>
      <c r="BA5" s="77"/>
      <c r="BB5" s="77"/>
      <c r="BC5" s="77"/>
      <c r="BD5" s="77"/>
      <c r="BE5" s="77"/>
      <c r="BF5" s="77"/>
      <c r="BG5" s="77"/>
    </row>
    <row r="6" spans="1:59" ht="12.75" customHeight="1" thickTop="1">
      <c r="A6" s="271" t="s">
        <v>6</v>
      </c>
      <c r="B6" s="272"/>
      <c r="C6" s="163" t="str">
        <f>IF(Gen!C6&gt;0,Gen!C6,Vuota1)</f>
        <v>        </v>
      </c>
      <c r="D6" s="213" t="e">
        <f>IF(#REF!&gt;0,#REF!,Vuota1)</f>
        <v>#REF!</v>
      </c>
      <c r="E6" s="213" t="e">
        <f>IF(#REF!&gt;0,#REF!,Vuota1)</f>
        <v>#REF!</v>
      </c>
      <c r="F6" s="213" t="e">
        <f>IF(#REF!&gt;0,#REF!,Vuota1)</f>
        <v>#REF!</v>
      </c>
      <c r="G6" s="359" t="e">
        <f>IF(#REF!&gt;0,#REF!,Vuota1)</f>
        <v>#REF!</v>
      </c>
      <c r="H6" s="60" t="s">
        <v>7</v>
      </c>
      <c r="I6" s="353" t="str">
        <f>IF(Gen!I6&gt;0,Gen!I6,Vuota1)</f>
        <v>        </v>
      </c>
      <c r="J6" s="354" t="e">
        <f>IF(#REF!&gt;0,#REF!,Vuota1)</f>
        <v>#REF!</v>
      </c>
      <c r="K6" s="355" t="e">
        <f>IF(#REF!&gt;0,#REF!,Vuota1)</f>
        <v>#REF!</v>
      </c>
      <c r="L6" s="48" t="s">
        <v>90</v>
      </c>
      <c r="M6" s="356" t="str">
        <f>IF(Gen!M6&gt;0,Gen!M6,Vuota1)</f>
        <v>        </v>
      </c>
      <c r="N6" s="357" t="e">
        <f>IF(#REF!&gt;0,#REF!,Vuota1)</f>
        <v>#REF!</v>
      </c>
      <c r="O6" s="357" t="e">
        <f>IF(#REF!&gt;0,#REF!,Vuota1)</f>
        <v>#REF!</v>
      </c>
      <c r="P6" s="358" t="e">
        <f>IF(#REF!&gt;0,#REF!,Vuota1)</f>
        <v>#REF!</v>
      </c>
      <c r="Q6" s="317"/>
      <c r="R6" s="318"/>
      <c r="S6" s="318"/>
      <c r="T6" s="302" t="s">
        <v>6</v>
      </c>
      <c r="U6" s="302"/>
      <c r="V6" s="214"/>
      <c r="W6" s="215"/>
      <c r="X6" s="215"/>
      <c r="Y6" s="215"/>
      <c r="Z6" s="216"/>
      <c r="AA6" s="60" t="s">
        <v>7</v>
      </c>
      <c r="AB6" s="300"/>
      <c r="AC6" s="301"/>
      <c r="AD6" s="20"/>
      <c r="AE6" s="20"/>
      <c r="AF6" s="62"/>
      <c r="AH6" s="21"/>
      <c r="AI6" s="7">
        <f>+AJ5+0.01</f>
        <v>55000.01</v>
      </c>
      <c r="AJ6" s="7">
        <f>+Aliquote!C9</f>
        <v>75000</v>
      </c>
      <c r="AK6" s="8">
        <f>+Aliquote!D9</f>
        <v>0.41</v>
      </c>
      <c r="AL6" s="7">
        <f>ROUND((AI6-AI5)*AK5,2)+AL5</f>
        <v>17220</v>
      </c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</row>
    <row r="7" spans="1:59" ht="12.75" customHeight="1">
      <c r="A7" s="239" t="s">
        <v>8</v>
      </c>
      <c r="B7" s="240"/>
      <c r="C7" s="240"/>
      <c r="D7" s="240"/>
      <c r="E7" s="240"/>
      <c r="F7" s="240"/>
      <c r="G7" s="240"/>
      <c r="H7" s="158" t="s">
        <v>9</v>
      </c>
      <c r="I7" s="158"/>
      <c r="J7" s="158"/>
      <c r="K7" s="158"/>
      <c r="L7" s="158"/>
      <c r="M7" s="20"/>
      <c r="N7" s="20"/>
      <c r="O7" s="20"/>
      <c r="P7" s="62"/>
      <c r="Q7" s="239" t="s">
        <v>8</v>
      </c>
      <c r="R7" s="240"/>
      <c r="S7" s="240"/>
      <c r="T7" s="240"/>
      <c r="U7" s="240"/>
      <c r="V7" s="240"/>
      <c r="W7" s="240"/>
      <c r="X7" s="158" t="s">
        <v>9</v>
      </c>
      <c r="Y7" s="158"/>
      <c r="Z7" s="158"/>
      <c r="AA7" s="158"/>
      <c r="AB7" s="158"/>
      <c r="AC7" s="20"/>
      <c r="AD7" s="20"/>
      <c r="AE7" s="20"/>
      <c r="AF7" s="62"/>
      <c r="AH7" s="21"/>
      <c r="AI7" s="7">
        <f>+AJ6+0.01</f>
        <v>75000.01</v>
      </c>
      <c r="AJ7" s="7">
        <v>1000000</v>
      </c>
      <c r="AK7" s="8">
        <f>+Aliquote!D10</f>
        <v>0.43</v>
      </c>
      <c r="AL7" s="7">
        <f>ROUND((AI7-AI6)*AK6,2)+AL6</f>
        <v>25420</v>
      </c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</row>
    <row r="8" spans="1:59" ht="12.75">
      <c r="A8" s="27" t="s">
        <v>78</v>
      </c>
      <c r="B8" s="29"/>
      <c r="C8" s="29"/>
      <c r="D8" s="23"/>
      <c r="E8" s="195"/>
      <c r="F8" s="196"/>
      <c r="G8" s="197"/>
      <c r="H8" s="273" t="s">
        <v>10</v>
      </c>
      <c r="I8" s="274"/>
      <c r="J8" s="274"/>
      <c r="K8" s="275"/>
      <c r="L8" s="1"/>
      <c r="M8" s="20"/>
      <c r="N8" s="20"/>
      <c r="O8" s="20"/>
      <c r="P8" s="62"/>
      <c r="Q8" s="27" t="s">
        <v>78</v>
      </c>
      <c r="R8" s="29"/>
      <c r="S8" s="29"/>
      <c r="T8" s="23"/>
      <c r="U8" s="195">
        <f aca="true" t="shared" si="0" ref="U8:U15">ROUND(E8*13,5)</f>
        <v>0</v>
      </c>
      <c r="V8" s="196"/>
      <c r="W8" s="197"/>
      <c r="X8" s="273" t="s">
        <v>10</v>
      </c>
      <c r="Y8" s="274"/>
      <c r="Z8" s="274"/>
      <c r="AA8" s="275"/>
      <c r="AB8" s="1">
        <f aca="true" t="shared" si="1" ref="AB8:AB17">ROUND(L8*13,5)</f>
        <v>0</v>
      </c>
      <c r="AC8" s="20"/>
      <c r="AD8" s="20"/>
      <c r="AE8" s="20"/>
      <c r="AF8" s="62"/>
      <c r="AH8" s="21"/>
      <c r="AI8" s="7">
        <f>+AJ7+0.01</f>
        <v>1000000.01</v>
      </c>
      <c r="AJ8" s="10">
        <v>2000000</v>
      </c>
      <c r="AK8" s="11">
        <f>+AK7</f>
        <v>0.43</v>
      </c>
      <c r="AL8" s="10">
        <f>ROUND((AI8-AI7)*AK7,2)+AL7</f>
        <v>423170</v>
      </c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</row>
    <row r="9" spans="1:59" ht="12.75">
      <c r="A9" s="27" t="s">
        <v>11</v>
      </c>
      <c r="B9" s="29"/>
      <c r="C9" s="29"/>
      <c r="D9" s="23"/>
      <c r="E9" s="195"/>
      <c r="F9" s="196"/>
      <c r="G9" s="197"/>
      <c r="H9" s="198" t="s">
        <v>111</v>
      </c>
      <c r="I9" s="199"/>
      <c r="J9" s="199"/>
      <c r="K9" s="200"/>
      <c r="L9" s="1"/>
      <c r="M9" s="20"/>
      <c r="N9" s="20"/>
      <c r="O9" s="20"/>
      <c r="P9" s="62"/>
      <c r="Q9" s="27" t="s">
        <v>11</v>
      </c>
      <c r="R9" s="29"/>
      <c r="S9" s="29"/>
      <c r="T9" s="23"/>
      <c r="U9" s="195">
        <f t="shared" si="0"/>
        <v>0</v>
      </c>
      <c r="V9" s="196"/>
      <c r="W9" s="197"/>
      <c r="X9" s="198" t="s">
        <v>111</v>
      </c>
      <c r="Y9" s="199"/>
      <c r="Z9" s="199"/>
      <c r="AA9" s="200"/>
      <c r="AB9" s="1">
        <f t="shared" si="1"/>
        <v>0</v>
      </c>
      <c r="AC9" s="20"/>
      <c r="AD9" s="20"/>
      <c r="AE9" s="25" t="s">
        <v>117</v>
      </c>
      <c r="AF9" s="62"/>
      <c r="AH9" s="22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</row>
    <row r="10" spans="1:59" ht="12.75">
      <c r="A10" s="27" t="s">
        <v>12</v>
      </c>
      <c r="B10" s="29"/>
      <c r="C10" s="29"/>
      <c r="D10" s="23"/>
      <c r="E10" s="195"/>
      <c r="F10" s="196"/>
      <c r="G10" s="197"/>
      <c r="H10" s="198" t="s">
        <v>112</v>
      </c>
      <c r="I10" s="199"/>
      <c r="J10" s="199"/>
      <c r="K10" s="200"/>
      <c r="L10" s="1"/>
      <c r="M10" s="20"/>
      <c r="N10" s="20"/>
      <c r="O10" s="20"/>
      <c r="P10" s="62"/>
      <c r="Q10" s="27" t="s">
        <v>12</v>
      </c>
      <c r="R10" s="29"/>
      <c r="S10" s="29"/>
      <c r="T10" s="23"/>
      <c r="U10" s="195">
        <f t="shared" si="0"/>
        <v>0</v>
      </c>
      <c r="V10" s="196"/>
      <c r="W10" s="197"/>
      <c r="X10" s="198" t="s">
        <v>112</v>
      </c>
      <c r="Y10" s="199"/>
      <c r="Z10" s="199"/>
      <c r="AA10" s="200"/>
      <c r="AB10" s="1">
        <f t="shared" si="1"/>
        <v>0</v>
      </c>
      <c r="AC10" s="20"/>
      <c r="AD10" s="20"/>
      <c r="AE10" s="145">
        <f>+Lordo-U12</f>
        <v>0</v>
      </c>
      <c r="AF10" s="62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</row>
    <row r="11" spans="1:59" ht="12.75">
      <c r="A11" s="27" t="s">
        <v>14</v>
      </c>
      <c r="B11" s="29"/>
      <c r="C11" s="29"/>
      <c r="D11" s="29"/>
      <c r="E11" s="195"/>
      <c r="F11" s="196"/>
      <c r="G11" s="197"/>
      <c r="H11" s="198" t="s">
        <v>113</v>
      </c>
      <c r="I11" s="199"/>
      <c r="J11" s="199"/>
      <c r="K11" s="200"/>
      <c r="L11" s="143">
        <f>ROUND((E10+E11)*(Aliquote!H9),2)</f>
        <v>0</v>
      </c>
      <c r="M11" s="20"/>
      <c r="N11" s="20"/>
      <c r="O11" s="20"/>
      <c r="P11" s="62"/>
      <c r="Q11" s="27" t="s">
        <v>14</v>
      </c>
      <c r="R11" s="29"/>
      <c r="S11" s="29"/>
      <c r="T11" s="29"/>
      <c r="U11" s="195">
        <f t="shared" si="0"/>
        <v>0</v>
      </c>
      <c r="V11" s="196"/>
      <c r="W11" s="197"/>
      <c r="X11" s="198" t="s">
        <v>113</v>
      </c>
      <c r="Y11" s="199"/>
      <c r="Z11" s="199"/>
      <c r="AA11" s="200"/>
      <c r="AB11" s="143">
        <f t="shared" si="1"/>
        <v>0</v>
      </c>
      <c r="AC11" s="20"/>
      <c r="AD11" s="20"/>
      <c r="AE11" s="20"/>
      <c r="AF11" s="62"/>
      <c r="AH11" s="85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</row>
    <row r="12" spans="1:59" ht="12.75">
      <c r="A12" s="27"/>
      <c r="B12" s="29"/>
      <c r="C12" s="29"/>
      <c r="D12" s="23"/>
      <c r="E12" s="404"/>
      <c r="F12" s="405"/>
      <c r="G12" s="406"/>
      <c r="H12" s="198" t="s">
        <v>114</v>
      </c>
      <c r="I12" s="199"/>
      <c r="J12" s="199"/>
      <c r="K12" s="200"/>
      <c r="L12" s="144">
        <f>ROUND((E10+E11)*(Aliquote!I9),2)</f>
        <v>0</v>
      </c>
      <c r="M12" s="20"/>
      <c r="N12" s="20"/>
      <c r="O12" s="20"/>
      <c r="P12" s="62"/>
      <c r="Q12" s="27" t="s">
        <v>16</v>
      </c>
      <c r="R12" s="29"/>
      <c r="S12" s="29"/>
      <c r="T12" s="23"/>
      <c r="U12" s="195">
        <f t="shared" si="0"/>
        <v>0</v>
      </c>
      <c r="V12" s="196"/>
      <c r="W12" s="197"/>
      <c r="X12" s="198" t="s">
        <v>114</v>
      </c>
      <c r="Y12" s="199"/>
      <c r="Z12" s="199"/>
      <c r="AA12" s="200"/>
      <c r="AB12" s="143">
        <f t="shared" si="1"/>
        <v>0</v>
      </c>
      <c r="AC12" s="91"/>
      <c r="AD12" s="20"/>
      <c r="AE12" s="20"/>
      <c r="AF12" s="62"/>
      <c r="AH12" s="85"/>
      <c r="AI12" s="186" t="s">
        <v>32</v>
      </c>
      <c r="AJ12" s="186"/>
      <c r="AK12" s="186"/>
      <c r="AL12" s="186"/>
      <c r="AM12" s="186"/>
      <c r="AN12" t="s">
        <v>44</v>
      </c>
      <c r="AO12" t="s">
        <v>43</v>
      </c>
      <c r="AT12" s="77"/>
      <c r="AU12" s="78"/>
      <c r="AV12" s="78"/>
      <c r="AW12" s="78"/>
      <c r="AX12" s="77"/>
      <c r="AY12" s="77"/>
      <c r="AZ12" s="77"/>
      <c r="BA12" s="77"/>
      <c r="BB12" s="77"/>
      <c r="BC12" s="77"/>
      <c r="BD12" s="77"/>
      <c r="BE12" s="77"/>
      <c r="BF12" s="77"/>
      <c r="BG12" s="77"/>
    </row>
    <row r="13" spans="1:59" ht="12.75">
      <c r="A13" s="27" t="s">
        <v>17</v>
      </c>
      <c r="B13" s="29"/>
      <c r="C13" s="29"/>
      <c r="D13" s="23"/>
      <c r="E13" s="195"/>
      <c r="F13" s="196"/>
      <c r="G13" s="197"/>
      <c r="H13" s="198"/>
      <c r="I13" s="199"/>
      <c r="J13" s="199"/>
      <c r="K13" s="200"/>
      <c r="L13" s="143"/>
      <c r="M13" s="20"/>
      <c r="N13" s="20"/>
      <c r="O13" s="20"/>
      <c r="P13" s="62"/>
      <c r="Q13" s="27" t="s">
        <v>17</v>
      </c>
      <c r="R13" s="29"/>
      <c r="S13" s="29"/>
      <c r="T13" s="23"/>
      <c r="U13" s="195">
        <f t="shared" si="0"/>
        <v>0</v>
      </c>
      <c r="V13" s="196"/>
      <c r="W13" s="197"/>
      <c r="X13" s="198" t="s">
        <v>115</v>
      </c>
      <c r="Y13" s="199"/>
      <c r="Z13" s="199"/>
      <c r="AA13" s="200"/>
      <c r="AB13" s="143">
        <f t="shared" si="1"/>
        <v>0</v>
      </c>
      <c r="AC13" s="20"/>
      <c r="AD13" s="20"/>
      <c r="AE13" s="91"/>
      <c r="AF13" s="62"/>
      <c r="AH13" s="85"/>
      <c r="AI13" s="4" t="s">
        <v>33</v>
      </c>
      <c r="AJ13" s="107">
        <v>80000</v>
      </c>
      <c r="AK13" s="4"/>
      <c r="AL13" s="107">
        <v>800</v>
      </c>
      <c r="AM13" s="107">
        <v>690</v>
      </c>
      <c r="AN13" s="87">
        <v>110</v>
      </c>
      <c r="AO13" s="87">
        <f>ROUND(Redd_Detraz/AJ19,4)</f>
        <v>0</v>
      </c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</row>
    <row r="14" spans="1:59" ht="12.75">
      <c r="A14" s="192" t="s">
        <v>108</v>
      </c>
      <c r="B14" s="193"/>
      <c r="C14" s="193"/>
      <c r="D14" s="194"/>
      <c r="E14" s="195"/>
      <c r="F14" s="196"/>
      <c r="G14" s="197"/>
      <c r="H14" s="198" t="s">
        <v>116</v>
      </c>
      <c r="I14" s="199"/>
      <c r="J14" s="199"/>
      <c r="K14" s="200"/>
      <c r="L14" s="143">
        <f>ROUND(E13*80%*(Aliquote!$G$9)+E13*(Aliquote!$H$9+Aliquote!$I$9),5)</f>
        <v>0</v>
      </c>
      <c r="M14" s="20"/>
      <c r="N14" s="20"/>
      <c r="O14" s="20"/>
      <c r="P14" s="62"/>
      <c r="Q14" s="26" t="s">
        <v>13</v>
      </c>
      <c r="R14" s="30"/>
      <c r="S14" s="30"/>
      <c r="T14" s="24"/>
      <c r="U14" s="195">
        <f t="shared" si="0"/>
        <v>0</v>
      </c>
      <c r="V14" s="196"/>
      <c r="W14" s="197"/>
      <c r="X14" s="198" t="s">
        <v>116</v>
      </c>
      <c r="Y14" s="199"/>
      <c r="Z14" s="199"/>
      <c r="AA14" s="200"/>
      <c r="AB14" s="143">
        <f t="shared" si="1"/>
        <v>0</v>
      </c>
      <c r="AC14" s="20"/>
      <c r="AD14" s="20"/>
      <c r="AE14" s="20"/>
      <c r="AF14" s="62"/>
      <c r="AH14" s="85"/>
      <c r="AI14" s="4" t="s">
        <v>34</v>
      </c>
      <c r="AJ14" s="107">
        <v>95000</v>
      </c>
      <c r="AK14" s="4"/>
      <c r="AL14" s="107">
        <v>800</v>
      </c>
      <c r="AO14" s="77">
        <f>ROUND((Coniuge-Redd_Detraz)/AJ38,4)</f>
        <v>2</v>
      </c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</row>
    <row r="15" spans="1:59" ht="12.75">
      <c r="A15" s="192" t="s">
        <v>109</v>
      </c>
      <c r="B15" s="193"/>
      <c r="C15" s="193"/>
      <c r="D15" s="194"/>
      <c r="E15" s="195"/>
      <c r="F15" s="196"/>
      <c r="G15" s="197"/>
      <c r="H15" s="192" t="s">
        <v>149</v>
      </c>
      <c r="I15" s="193"/>
      <c r="J15" s="193"/>
      <c r="K15" s="194"/>
      <c r="L15" s="143">
        <f>ROUND(E14*80%*(Aliquote!$G$9)+E14*(Aliquote!$H$9+Aliquote!$I$9),5)</f>
        <v>0</v>
      </c>
      <c r="M15" s="20"/>
      <c r="N15" s="20"/>
      <c r="O15" s="20"/>
      <c r="P15" s="62"/>
      <c r="Q15" s="26" t="s">
        <v>13</v>
      </c>
      <c r="R15" s="30"/>
      <c r="S15" s="30"/>
      <c r="T15" s="24"/>
      <c r="U15" s="195">
        <f t="shared" si="0"/>
        <v>0</v>
      </c>
      <c r="V15" s="196"/>
      <c r="W15" s="197"/>
      <c r="X15" s="192" t="s">
        <v>13</v>
      </c>
      <c r="Y15" s="193"/>
      <c r="Z15" s="193"/>
      <c r="AA15" s="194"/>
      <c r="AB15" s="143">
        <f t="shared" si="1"/>
        <v>0</v>
      </c>
      <c r="AC15" s="20"/>
      <c r="AD15" s="20"/>
      <c r="AE15" s="25" t="s">
        <v>93</v>
      </c>
      <c r="AF15" s="62"/>
      <c r="AH15" s="85"/>
      <c r="AI15" s="4" t="s">
        <v>35</v>
      </c>
      <c r="AJ15" s="107">
        <v>55000</v>
      </c>
      <c r="AK15" s="4"/>
      <c r="AL15" s="107">
        <v>1338</v>
      </c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</row>
    <row r="16" spans="1:59" ht="12.75">
      <c r="A16" s="192" t="s">
        <v>148</v>
      </c>
      <c r="B16" s="193"/>
      <c r="C16" s="193"/>
      <c r="D16" s="194"/>
      <c r="E16" s="195"/>
      <c r="F16" s="196"/>
      <c r="G16" s="197"/>
      <c r="H16" s="192" t="s">
        <v>150</v>
      </c>
      <c r="I16" s="193"/>
      <c r="J16" s="193"/>
      <c r="K16" s="194"/>
      <c r="L16" s="144">
        <f>ROUND(E15*(Aliquote!$H$9+Aliquote!$I$9),5)</f>
        <v>0</v>
      </c>
      <c r="M16" s="20"/>
      <c r="N16" s="20"/>
      <c r="O16" s="20"/>
      <c r="P16" s="62"/>
      <c r="Q16" s="192" t="s">
        <v>57</v>
      </c>
      <c r="R16" s="193"/>
      <c r="S16" s="193"/>
      <c r="T16" s="194"/>
      <c r="U16" s="195"/>
      <c r="V16" s="196"/>
      <c r="W16" s="197"/>
      <c r="X16" s="192" t="s">
        <v>13</v>
      </c>
      <c r="Y16" s="193"/>
      <c r="Z16" s="193"/>
      <c r="AA16" s="194"/>
      <c r="AB16" s="143">
        <f t="shared" si="1"/>
        <v>0</v>
      </c>
      <c r="AC16" s="298"/>
      <c r="AD16" s="299"/>
      <c r="AE16" s="146">
        <f>IF(O46&gt;E12,ROUND((O46-E12)*12,2),0)</f>
        <v>0</v>
      </c>
      <c r="AF16" s="62"/>
      <c r="AH16" s="85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</row>
    <row r="17" spans="1:59" ht="12.75">
      <c r="A17" s="163" t="s">
        <v>15</v>
      </c>
      <c r="B17" s="154"/>
      <c r="C17" s="154"/>
      <c r="D17" s="164"/>
      <c r="E17" s="175">
        <f>SUM(E8:G16)</f>
        <v>0</v>
      </c>
      <c r="F17" s="219"/>
      <c r="G17" s="176"/>
      <c r="H17" s="192" t="s">
        <v>148</v>
      </c>
      <c r="I17" s="193"/>
      <c r="J17" s="193"/>
      <c r="K17" s="194"/>
      <c r="L17" s="189"/>
      <c r="M17" s="20"/>
      <c r="N17" s="20"/>
      <c r="O17" s="20"/>
      <c r="P17" s="62"/>
      <c r="Q17" s="31" t="s">
        <v>15</v>
      </c>
      <c r="R17" s="28"/>
      <c r="S17" s="28"/>
      <c r="T17" s="32"/>
      <c r="U17" s="175">
        <f>SUM(U8:W16)</f>
        <v>0</v>
      </c>
      <c r="V17" s="219"/>
      <c r="W17" s="176"/>
      <c r="X17" s="192" t="s">
        <v>57</v>
      </c>
      <c r="Y17" s="193"/>
      <c r="Z17" s="193"/>
      <c r="AA17" s="194"/>
      <c r="AB17" s="143">
        <f t="shared" si="1"/>
        <v>0</v>
      </c>
      <c r="AC17" s="160"/>
      <c r="AD17" s="160"/>
      <c r="AE17" s="147"/>
      <c r="AF17" s="62"/>
      <c r="AH17" s="85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</row>
    <row r="18" spans="1:59" ht="13.5" thickBot="1">
      <c r="A18" s="57"/>
      <c r="B18" s="20"/>
      <c r="C18" s="20"/>
      <c r="D18" s="20"/>
      <c r="E18" s="20"/>
      <c r="F18" s="20"/>
      <c r="G18" s="20"/>
      <c r="H18" s="163" t="s">
        <v>15</v>
      </c>
      <c r="I18" s="154"/>
      <c r="J18" s="154"/>
      <c r="K18" s="164"/>
      <c r="L18" s="3">
        <f>SUM(L8:L17)</f>
        <v>0</v>
      </c>
      <c r="M18" s="20"/>
      <c r="N18" s="20"/>
      <c r="O18" s="20"/>
      <c r="P18" s="62"/>
      <c r="Q18" s="57"/>
      <c r="R18" s="20"/>
      <c r="S18" s="20"/>
      <c r="T18" s="20"/>
      <c r="U18" s="20"/>
      <c r="V18" s="20"/>
      <c r="W18" s="20"/>
      <c r="X18" s="31" t="s">
        <v>15</v>
      </c>
      <c r="Y18" s="28"/>
      <c r="Z18" s="28"/>
      <c r="AA18" s="32"/>
      <c r="AB18" s="3">
        <f>SUM(AB8:AB17)</f>
        <v>0</v>
      </c>
      <c r="AC18" s="136"/>
      <c r="AD18" s="136" t="s">
        <v>139</v>
      </c>
      <c r="AE18" s="147"/>
      <c r="AF18" s="151">
        <f>ROUND(E12*12,5)</f>
        <v>0</v>
      </c>
      <c r="AH18" s="85"/>
      <c r="AI18" s="4" t="s">
        <v>38</v>
      </c>
      <c r="AJ18" s="110" t="s">
        <v>39</v>
      </c>
      <c r="AK18" s="77"/>
      <c r="AL18" s="111" t="s">
        <v>45</v>
      </c>
      <c r="AM18" s="111" t="s">
        <v>40</v>
      </c>
      <c r="AO18">
        <f>IF(AP18&gt;0,1,0)</f>
        <v>0</v>
      </c>
      <c r="AP18" s="87"/>
      <c r="AQ18" s="87">
        <v>700</v>
      </c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</row>
    <row r="19" spans="1:59" ht="13.5" customHeight="1" hidden="1" thickBot="1">
      <c r="A19" s="79"/>
      <c r="B19" s="25"/>
      <c r="C19" s="25"/>
      <c r="D19" s="25"/>
      <c r="E19" s="25"/>
      <c r="F19" s="25"/>
      <c r="G19" s="25"/>
      <c r="H19" s="20"/>
      <c r="I19" s="20"/>
      <c r="J19" s="20"/>
      <c r="K19" s="20"/>
      <c r="L19" s="20"/>
      <c r="M19" s="20"/>
      <c r="N19" s="20"/>
      <c r="O19" s="20"/>
      <c r="P19" s="62"/>
      <c r="Q19" s="79"/>
      <c r="R19" s="25"/>
      <c r="S19" s="25"/>
      <c r="T19" s="25"/>
      <c r="U19" s="25"/>
      <c r="V19" s="25"/>
      <c r="W19" s="25"/>
      <c r="X19" s="20"/>
      <c r="Y19" s="20"/>
      <c r="Z19" s="20"/>
      <c r="AA19" s="20"/>
      <c r="AB19" s="20"/>
      <c r="AC19" s="136"/>
      <c r="AD19" s="20"/>
      <c r="AE19" s="148"/>
      <c r="AF19" s="62"/>
      <c r="AI19" s="315" t="s">
        <v>33</v>
      </c>
      <c r="AJ19" s="316">
        <v>15000</v>
      </c>
      <c r="AK19" s="77"/>
      <c r="AL19" s="118">
        <v>0</v>
      </c>
      <c r="AM19" s="127">
        <v>0</v>
      </c>
      <c r="AO19">
        <f>IF(AP19&gt;0,1,0)</f>
        <v>0</v>
      </c>
      <c r="AP19" s="87"/>
      <c r="AQ19" s="87">
        <v>500</v>
      </c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</row>
    <row r="20" spans="1:59" ht="15.75">
      <c r="A20" s="241" t="s">
        <v>66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3"/>
      <c r="Q20" s="241" t="s">
        <v>66</v>
      </c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3"/>
      <c r="AI20" s="315"/>
      <c r="AJ20" s="316"/>
      <c r="AK20" s="77"/>
      <c r="AL20" s="128"/>
      <c r="AM20" s="129"/>
      <c r="AP20" s="87"/>
      <c r="AQ20" s="8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</row>
    <row r="21" spans="1:59" ht="12.75">
      <c r="A21" s="289" t="s">
        <v>33</v>
      </c>
      <c r="B21" s="289"/>
      <c r="C21" s="289"/>
      <c r="D21" s="2"/>
      <c r="E21" s="25"/>
      <c r="F21" s="63"/>
      <c r="G21" s="63"/>
      <c r="H21" s="63"/>
      <c r="I21" s="45"/>
      <c r="J21" s="20"/>
      <c r="K21" s="20"/>
      <c r="L21" s="20"/>
      <c r="M21" s="20"/>
      <c r="N21" s="20"/>
      <c r="O21" s="20"/>
      <c r="P21" s="62"/>
      <c r="Q21" s="289" t="s">
        <v>33</v>
      </c>
      <c r="R21" s="289"/>
      <c r="S21" s="289"/>
      <c r="T21" s="2">
        <f>+D21</f>
        <v>0</v>
      </c>
      <c r="U21" s="25"/>
      <c r="V21" s="63" t="str">
        <f>IF(CNG="Si","Mesi a carico",Vuota1)</f>
        <v>        </v>
      </c>
      <c r="W21" s="63"/>
      <c r="X21" s="63"/>
      <c r="Y21" s="45">
        <v>12</v>
      </c>
      <c r="Z21" s="20"/>
      <c r="AA21" s="20"/>
      <c r="AB21" s="20"/>
      <c r="AC21" s="20"/>
      <c r="AD21" s="20"/>
      <c r="AE21" s="20"/>
      <c r="AF21" s="62"/>
      <c r="AI21" s="315"/>
      <c r="AJ21" s="316"/>
      <c r="AK21" s="77"/>
      <c r="AL21" s="128"/>
      <c r="AM21" s="129"/>
      <c r="AP21" s="87"/>
      <c r="AQ21" s="87"/>
      <c r="AT21" s="77"/>
      <c r="AU21" s="303" t="s">
        <v>83</v>
      </c>
      <c r="AV21" s="304"/>
      <c r="AW21" s="305"/>
      <c r="AX21" s="77"/>
      <c r="AY21" s="77"/>
      <c r="AZ21" s="77"/>
      <c r="BA21" s="77"/>
      <c r="BB21" s="77"/>
      <c r="BC21" s="77"/>
      <c r="BD21" s="77"/>
      <c r="BE21" s="77"/>
      <c r="BF21" s="77"/>
      <c r="BG21" s="77"/>
    </row>
    <row r="22" spans="1:59" ht="12.75">
      <c r="A22" s="64"/>
      <c r="B22" s="63"/>
      <c r="C22" s="48"/>
      <c r="D22" s="20"/>
      <c r="E22" s="25"/>
      <c r="F22" s="63"/>
      <c r="G22" s="63"/>
      <c r="H22" s="63"/>
      <c r="I22" s="20"/>
      <c r="J22" s="20"/>
      <c r="K22" s="20"/>
      <c r="L22" s="20"/>
      <c r="M22" s="20"/>
      <c r="N22" s="20"/>
      <c r="O22" s="20"/>
      <c r="P22" s="62"/>
      <c r="Q22" s="64"/>
      <c r="R22" s="63"/>
      <c r="S22" s="48"/>
      <c r="T22" s="20"/>
      <c r="U22" s="25"/>
      <c r="V22" s="63"/>
      <c r="W22" s="63"/>
      <c r="X22" s="63"/>
      <c r="Y22" s="20"/>
      <c r="Z22" s="20"/>
      <c r="AA22" s="20"/>
      <c r="AB22" s="20"/>
      <c r="AC22" s="20"/>
      <c r="AD22" s="20"/>
      <c r="AE22" s="20"/>
      <c r="AF22" s="62"/>
      <c r="AI22" s="315"/>
      <c r="AJ22" s="316"/>
      <c r="AK22" s="77"/>
      <c r="AL22" s="128"/>
      <c r="AM22" s="129"/>
      <c r="AP22" s="87"/>
      <c r="AQ22" s="87"/>
      <c r="AT22" s="77"/>
      <c r="AU22" s="306"/>
      <c r="AV22" s="257"/>
      <c r="AW22" s="307"/>
      <c r="AX22" s="77"/>
      <c r="AY22" s="77"/>
      <c r="AZ22" s="77"/>
      <c r="BA22" s="77"/>
      <c r="BB22" s="77"/>
      <c r="BC22" s="77"/>
      <c r="BD22" s="77"/>
      <c r="BE22" s="77"/>
      <c r="BF22" s="77"/>
      <c r="BG22" s="77"/>
    </row>
    <row r="23" spans="1:59" ht="12.75">
      <c r="A23" s="54" t="s">
        <v>67</v>
      </c>
      <c r="B23" s="55"/>
      <c r="C23" s="56"/>
      <c r="D23" s="49"/>
      <c r="E23" s="20"/>
      <c r="F23" s="63" t="str">
        <f>IF(N_Fgl&gt;0,"Se il 1° figlio è in assenza del coniuge barrare la casella &gt;&gt;&gt;&gt;",Vuota1)</f>
        <v>        </v>
      </c>
      <c r="G23" s="63"/>
      <c r="H23" s="63"/>
      <c r="I23" s="20"/>
      <c r="J23" s="25"/>
      <c r="K23" s="20"/>
      <c r="L23" s="20"/>
      <c r="M23" s="20"/>
      <c r="N23" s="43"/>
      <c r="O23" s="63"/>
      <c r="P23" s="65"/>
      <c r="Q23" s="54" t="s">
        <v>67</v>
      </c>
      <c r="R23" s="55"/>
      <c r="S23" s="56"/>
      <c r="T23" s="49">
        <f>+D23</f>
        <v>0</v>
      </c>
      <c r="U23" s="20"/>
      <c r="V23" s="63" t="str">
        <f>IF(N_Fgl&gt;0,"Se il 1° figlio è in assenza delconiuge barrare la casella &gt;&gt;&gt;&gt;",Vuota1)</f>
        <v>        </v>
      </c>
      <c r="W23" s="63"/>
      <c r="X23" s="63"/>
      <c r="Y23" s="20"/>
      <c r="Z23" s="25"/>
      <c r="AA23" s="20"/>
      <c r="AB23" s="20"/>
      <c r="AC23" s="20"/>
      <c r="AD23" s="44">
        <f>+N23</f>
        <v>0</v>
      </c>
      <c r="AE23" s="63" t="str">
        <f>IF(AD23&gt;0,"Mesi a carico",Vuota1)</f>
        <v>        </v>
      </c>
      <c r="AF23" s="65"/>
      <c r="AI23" s="315"/>
      <c r="AJ23" s="316"/>
      <c r="AK23" s="77"/>
      <c r="AL23" s="128"/>
      <c r="AM23" s="129"/>
      <c r="AP23" s="87"/>
      <c r="AQ23" s="87"/>
      <c r="AT23" s="77"/>
      <c r="AU23" s="306"/>
      <c r="AV23" s="257"/>
      <c r="AW23" s="307"/>
      <c r="AX23" s="77"/>
      <c r="AY23" s="77"/>
      <c r="AZ23" s="77"/>
      <c r="BA23" s="77"/>
      <c r="BB23" s="77"/>
      <c r="BC23" s="77"/>
      <c r="BD23" s="77"/>
      <c r="BE23" s="77"/>
      <c r="BF23" s="77"/>
      <c r="BG23" s="77"/>
    </row>
    <row r="24" spans="1:59" ht="12.75" customHeight="1">
      <c r="A24" s="47"/>
      <c r="B24" s="239" t="s">
        <v>64</v>
      </c>
      <c r="C24" s="240"/>
      <c r="D24" s="293"/>
      <c r="E24" s="294" t="s">
        <v>65</v>
      </c>
      <c r="F24" s="295"/>
      <c r="G24" s="293"/>
      <c r="H24" s="294" t="s">
        <v>59</v>
      </c>
      <c r="I24" s="295"/>
      <c r="J24" s="293"/>
      <c r="K24" s="48"/>
      <c r="L24" s="63"/>
      <c r="M24" s="20"/>
      <c r="N24" s="20"/>
      <c r="O24" s="20"/>
      <c r="P24" s="62"/>
      <c r="Q24" s="47"/>
      <c r="R24" s="239" t="s">
        <v>64</v>
      </c>
      <c r="S24" s="240"/>
      <c r="T24" s="293"/>
      <c r="U24" s="294" t="s">
        <v>65</v>
      </c>
      <c r="V24" s="295"/>
      <c r="W24" s="293"/>
      <c r="X24" s="294" t="s">
        <v>59</v>
      </c>
      <c r="Y24" s="295"/>
      <c r="Z24" s="293"/>
      <c r="AA24" s="42" t="s">
        <v>80</v>
      </c>
      <c r="AB24" s="63"/>
      <c r="AC24" s="20"/>
      <c r="AD24" s="20"/>
      <c r="AE24" s="20"/>
      <c r="AF24" s="62"/>
      <c r="AI24" s="315"/>
      <c r="AJ24" s="316"/>
      <c r="AK24" s="77"/>
      <c r="AL24" s="128"/>
      <c r="AM24" s="129"/>
      <c r="AP24" s="87"/>
      <c r="AQ24" s="87"/>
      <c r="AT24" s="77"/>
      <c r="AU24" s="306"/>
      <c r="AV24" s="257"/>
      <c r="AW24" s="307"/>
      <c r="AX24" s="77"/>
      <c r="AY24" s="77"/>
      <c r="AZ24" s="77"/>
      <c r="BA24" s="77"/>
      <c r="BB24" s="77"/>
      <c r="BC24" s="77"/>
      <c r="BD24" s="77"/>
      <c r="BE24" s="77"/>
      <c r="BF24" s="77"/>
      <c r="BG24" s="77"/>
    </row>
    <row r="25" spans="1:59" ht="12.75" customHeight="1">
      <c r="A25" s="64" t="str">
        <f>IF(N_Fgl&gt;0,"1° figlio",Vuota1)</f>
        <v>        </v>
      </c>
      <c r="B25" s="63"/>
      <c r="C25" s="43"/>
      <c r="D25" s="63"/>
      <c r="E25" s="63"/>
      <c r="F25" s="43"/>
      <c r="G25" s="63"/>
      <c r="H25" s="63"/>
      <c r="I25" s="43"/>
      <c r="J25" s="63"/>
      <c r="K25" s="63"/>
      <c r="L25" s="66" t="str">
        <f>IF($D$23&gt;0,ROUND(AB25/12,2),Vuota1)</f>
        <v>        </v>
      </c>
      <c r="M25" s="231" t="s">
        <v>69</v>
      </c>
      <c r="N25" s="232"/>
      <c r="O25" s="233"/>
      <c r="P25" s="244">
        <v>1</v>
      </c>
      <c r="Q25" s="64" t="str">
        <f>IF(N_Fgl&gt;0,"1° figlio",Vuota1)</f>
        <v>        </v>
      </c>
      <c r="R25" s="63"/>
      <c r="S25" s="43">
        <f aca="true" t="shared" si="2" ref="S25:S31">+C25</f>
        <v>0</v>
      </c>
      <c r="T25" s="63"/>
      <c r="U25" s="63"/>
      <c r="V25" s="43">
        <f aca="true" t="shared" si="3" ref="V25:V31">+F25</f>
        <v>0</v>
      </c>
      <c r="W25" s="63"/>
      <c r="X25" s="63"/>
      <c r="Y25" s="43">
        <f aca="true" t="shared" si="4" ref="Y25:Y31">+I25</f>
        <v>0</v>
      </c>
      <c r="Z25" s="63"/>
      <c r="AA25" s="43"/>
      <c r="AB25" s="66" t="str">
        <f>IF(N_Fgl&gt;0,IF(AD23&gt;0,AH27,ROUND(dsfig*Percm,2)+IF($V$25&gt;0,ROUND((dsfg3-dsfig)*Percm,2),0)+IF($Y$25&gt;0,ROUND(dsfhc*Percm,2),0)),Vuota1)</f>
        <v>        </v>
      </c>
      <c r="AC25" s="231" t="s">
        <v>69</v>
      </c>
      <c r="AD25" s="232"/>
      <c r="AE25" s="233"/>
      <c r="AF25" s="244">
        <f>+P25</f>
        <v>1</v>
      </c>
      <c r="AH25" s="106">
        <f>ROUND(dsfig,5)+IF($V$25&gt;0,ROUND(dsfg3-dsfig,5),0)+IF($Y$25&gt;0,ROUND(dsfhc,5),0)</f>
        <v>0</v>
      </c>
      <c r="AI25" s="315"/>
      <c r="AJ25" s="316"/>
      <c r="AK25" s="77"/>
      <c r="AL25" s="128"/>
      <c r="AM25" s="129"/>
      <c r="AP25" s="87"/>
      <c r="AQ25" s="87"/>
      <c r="AT25" s="77"/>
      <c r="AU25" s="308"/>
      <c r="AV25" s="309"/>
      <c r="AW25" s="310"/>
      <c r="AX25" s="77"/>
      <c r="AY25" s="77"/>
      <c r="AZ25" s="77"/>
      <c r="BA25" s="77"/>
      <c r="BB25" s="77"/>
      <c r="BC25" s="77"/>
      <c r="BD25" s="77"/>
      <c r="BE25" s="77"/>
      <c r="BF25" s="77"/>
      <c r="BG25" s="77"/>
    </row>
    <row r="26" spans="1:59" ht="12.75">
      <c r="A26" s="64" t="str">
        <f>IF(N_Fgl&gt;1,"2° figlio"," ")</f>
        <v> </v>
      </c>
      <c r="B26" s="63"/>
      <c r="C26" s="43"/>
      <c r="D26" s="63"/>
      <c r="E26" s="63"/>
      <c r="F26" s="43"/>
      <c r="G26" s="63"/>
      <c r="H26" s="63"/>
      <c r="I26" s="43"/>
      <c r="J26" s="63"/>
      <c r="K26" s="63"/>
      <c r="L26" s="66" t="str">
        <f>IF($D$23&gt;1,ROUND(AB26/12,2),Vuota1)</f>
        <v>        </v>
      </c>
      <c r="M26" s="234"/>
      <c r="N26" s="188"/>
      <c r="O26" s="235"/>
      <c r="P26" s="245"/>
      <c r="Q26" s="64" t="str">
        <f>IF(N_Fgl&gt;1,"2° figlio"," ")</f>
        <v> </v>
      </c>
      <c r="R26" s="63"/>
      <c r="S26" s="43">
        <f t="shared" si="2"/>
        <v>0</v>
      </c>
      <c r="T26" s="63"/>
      <c r="U26" s="63"/>
      <c r="V26" s="43">
        <f t="shared" si="3"/>
        <v>0</v>
      </c>
      <c r="W26" s="63"/>
      <c r="X26" s="63"/>
      <c r="Y26" s="43">
        <f t="shared" si="4"/>
        <v>0</v>
      </c>
      <c r="Z26" s="63"/>
      <c r="AA26" s="43"/>
      <c r="AB26" s="66" t="str">
        <f>IF(N_Fgl&gt;1,ROUND(dsfig*Percm,2)+IF(V26&gt;0,ROUND((dsfg3-dsfig)*Percm,2),0)+IF(Y26&gt;0,ROUND(dsfhc*Percm,2),0),Vuota1)</f>
        <v>        </v>
      </c>
      <c r="AC26" s="234"/>
      <c r="AD26" s="188"/>
      <c r="AE26" s="235"/>
      <c r="AF26" s="245"/>
      <c r="AI26" s="315"/>
      <c r="AJ26" s="316"/>
      <c r="AK26" s="77"/>
      <c r="AL26" s="128"/>
      <c r="AM26" s="129"/>
      <c r="AP26" s="87"/>
      <c r="AQ26" s="8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</row>
    <row r="27" spans="1:59" ht="12.75">
      <c r="A27" s="64" t="str">
        <f>IF(N_Fgl&gt;2,"3° figlio"," ")</f>
        <v> </v>
      </c>
      <c r="B27" s="63"/>
      <c r="C27" s="43"/>
      <c r="D27" s="63"/>
      <c r="E27" s="63"/>
      <c r="F27" s="43"/>
      <c r="G27" s="63"/>
      <c r="H27" s="63"/>
      <c r="I27" s="43"/>
      <c r="J27" s="63"/>
      <c r="K27" s="63"/>
      <c r="L27" s="66" t="str">
        <f>IF($D$23&gt;2,ROUND(AB27/12,2),Vuota1)</f>
        <v>        </v>
      </c>
      <c r="M27" s="236"/>
      <c r="N27" s="237"/>
      <c r="O27" s="238"/>
      <c r="P27" s="246"/>
      <c r="Q27" s="64" t="str">
        <f>IF(N_Fgl&gt;2,"3° figlio"," ")</f>
        <v> </v>
      </c>
      <c r="R27" s="63"/>
      <c r="S27" s="43">
        <f t="shared" si="2"/>
        <v>0</v>
      </c>
      <c r="T27" s="63"/>
      <c r="U27" s="63"/>
      <c r="V27" s="43">
        <f t="shared" si="3"/>
        <v>0</v>
      </c>
      <c r="W27" s="63"/>
      <c r="X27" s="63"/>
      <c r="Y27" s="43">
        <f t="shared" si="4"/>
        <v>0</v>
      </c>
      <c r="Z27" s="63"/>
      <c r="AA27" s="43"/>
      <c r="AB27" s="66" t="str">
        <f>IF(N_Fgl&gt;2,ROUND(dsfig*Percm,2)+IF(V27&gt;0,ROUND((dsfg3-dsfig)*Percm,2),0)+IF(Y27&gt;0,ROUND(dsfhc*Percm,2),0),Vuota1)</f>
        <v>        </v>
      </c>
      <c r="AC27" s="236"/>
      <c r="AD27" s="237"/>
      <c r="AE27" s="238"/>
      <c r="AF27" s="246"/>
      <c r="AH27" s="106">
        <f>IF($AD$23&gt;0,IF($AH$25&gt;Cng_nn,ROUND($AH$25,2),ROUND(Cng_nn,5)),AH25)</f>
        <v>0</v>
      </c>
      <c r="AI27" s="315"/>
      <c r="AJ27" s="316"/>
      <c r="AK27" s="77"/>
      <c r="AL27" s="128"/>
      <c r="AM27" s="129"/>
      <c r="AP27" s="87"/>
      <c r="AQ27" s="8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</row>
    <row r="28" spans="1:59" ht="12.75">
      <c r="A28" s="64" t="str">
        <f>IF(N_Fgl&gt;3,"4° figlio"," ")</f>
        <v> </v>
      </c>
      <c r="B28" s="63"/>
      <c r="C28" s="43"/>
      <c r="D28" s="63"/>
      <c r="E28" s="63"/>
      <c r="F28" s="43"/>
      <c r="G28" s="63"/>
      <c r="H28" s="63"/>
      <c r="I28" s="43"/>
      <c r="J28" s="63"/>
      <c r="K28" s="63"/>
      <c r="L28" s="66" t="str">
        <f>IF($D$23&gt;3,ROUND(AB28/12,2),Vuota1)</f>
        <v>        </v>
      </c>
      <c r="M28" s="319" t="str">
        <f>IF(N23&gt;0,IF(P25=50%,"Attenzione: la percentuale deve essere 100%",Vuota1),Vuota1)</f>
        <v>        </v>
      </c>
      <c r="N28" s="319"/>
      <c r="O28" s="319"/>
      <c r="P28" s="320"/>
      <c r="Q28" s="64" t="str">
        <f>IF(N_Fgl&gt;3,"4° figlio"," ")</f>
        <v> </v>
      </c>
      <c r="R28" s="63"/>
      <c r="S28" s="43">
        <f t="shared" si="2"/>
        <v>0</v>
      </c>
      <c r="T28" s="63"/>
      <c r="U28" s="63"/>
      <c r="V28" s="43">
        <f t="shared" si="3"/>
        <v>0</v>
      </c>
      <c r="W28" s="63"/>
      <c r="X28" s="63"/>
      <c r="Y28" s="43">
        <f t="shared" si="4"/>
        <v>0</v>
      </c>
      <c r="Z28" s="63"/>
      <c r="AA28" s="43"/>
      <c r="AB28" s="66" t="str">
        <f>IF(N_Fgl&gt;3,ROUND(dsfig*Percm,2)+IF(V28&gt;0,ROUND((dsfg3-dsfig)*Percm,2),0)+IF(Y28&gt;0,ROUND(dsfhc*Percm,2),0),Vuota1)</f>
        <v>        </v>
      </c>
      <c r="AC28" s="20"/>
      <c r="AD28" s="20"/>
      <c r="AE28" s="20"/>
      <c r="AF28" s="62"/>
      <c r="AI28" s="315"/>
      <c r="AJ28" s="316"/>
      <c r="AK28" s="77"/>
      <c r="AL28" s="128"/>
      <c r="AM28" s="129"/>
      <c r="AP28" s="87"/>
      <c r="AQ28" s="8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</row>
    <row r="29" spans="1:59" ht="13.5" thickBot="1">
      <c r="A29" s="64" t="str">
        <f>IF(N_Fgl&gt;4,"5° figlio"," ")</f>
        <v> </v>
      </c>
      <c r="B29" s="63"/>
      <c r="C29" s="43"/>
      <c r="D29" s="63"/>
      <c r="E29" s="63"/>
      <c r="F29" s="43"/>
      <c r="G29" s="63"/>
      <c r="H29" s="63"/>
      <c r="I29" s="43"/>
      <c r="J29" s="63"/>
      <c r="K29" s="63"/>
      <c r="L29" s="66" t="str">
        <f>IF($D$23&gt;4,ROUND(AB29/12,2),Vuota1)</f>
        <v>        </v>
      </c>
      <c r="M29" s="321"/>
      <c r="N29" s="321"/>
      <c r="O29" s="321"/>
      <c r="P29" s="322"/>
      <c r="Q29" s="64" t="str">
        <f>IF(N_Fgl&gt;4,"5° figlio"," ")</f>
        <v> </v>
      </c>
      <c r="R29" s="63"/>
      <c r="S29" s="43">
        <f t="shared" si="2"/>
        <v>0</v>
      </c>
      <c r="T29" s="63"/>
      <c r="U29" s="63"/>
      <c r="V29" s="43">
        <f t="shared" si="3"/>
        <v>0</v>
      </c>
      <c r="W29" s="63"/>
      <c r="X29" s="63"/>
      <c r="Y29" s="43">
        <f t="shared" si="4"/>
        <v>0</v>
      </c>
      <c r="Z29" s="63"/>
      <c r="AA29" s="43"/>
      <c r="AB29" s="66" t="str">
        <f>IF(N_Fgl&gt;4,ROUND(dsfig*Percm,2)+IF(V29&gt;0,ROUND((dsfg3-dsfig)*Percm,2),0)+IF(Y29&gt;0,ROUND(dsfhc*Percm,2),0),Vuota1)</f>
        <v>        </v>
      </c>
      <c r="AC29" s="20"/>
      <c r="AD29" s="20"/>
      <c r="AE29" s="20"/>
      <c r="AF29" s="62"/>
      <c r="AI29" s="315"/>
      <c r="AJ29" s="316"/>
      <c r="AK29" s="77"/>
      <c r="AL29" s="128"/>
      <c r="AM29" s="129"/>
      <c r="AP29" s="87"/>
      <c r="AQ29" s="8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</row>
    <row r="30" spans="1:59" ht="13.5" thickTop="1">
      <c r="A30" s="64" t="str">
        <f>IF(N_Fgl&gt;5,"6° figlio"," ")</f>
        <v> </v>
      </c>
      <c r="B30" s="63"/>
      <c r="C30" s="43"/>
      <c r="D30" s="63"/>
      <c r="E30" s="63"/>
      <c r="F30" s="43"/>
      <c r="G30" s="63"/>
      <c r="H30" s="63"/>
      <c r="I30" s="43"/>
      <c r="J30" s="63"/>
      <c r="K30" s="63"/>
      <c r="L30" s="66" t="str">
        <f>IF($D$23&gt;5,ROUND(AB30/12,2),Vuota1)</f>
        <v>        </v>
      </c>
      <c r="M30" s="20"/>
      <c r="N30" s="20"/>
      <c r="O30" s="20"/>
      <c r="P30" s="62"/>
      <c r="Q30" s="64" t="str">
        <f>IF(N_Fgl&gt;5,"6° figlio"," ")</f>
        <v> </v>
      </c>
      <c r="R30" s="63"/>
      <c r="S30" s="43">
        <f t="shared" si="2"/>
        <v>0</v>
      </c>
      <c r="T30" s="63"/>
      <c r="U30" s="63"/>
      <c r="V30" s="43">
        <f t="shared" si="3"/>
        <v>0</v>
      </c>
      <c r="W30" s="63"/>
      <c r="X30" s="63"/>
      <c r="Y30" s="43">
        <f t="shared" si="4"/>
        <v>0</v>
      </c>
      <c r="Z30" s="63"/>
      <c r="AA30" s="43"/>
      <c r="AB30" s="66" t="str">
        <f>IF(N_Fgl&gt;5,ROUND(dsfig*Percm,2)+IF(V30&gt;0,ROUND((dsfg3-dsfig)*Percm,2),0)+IF(Y30&gt;0,ROUND(dsfhc*Percm,2),0),Vuota1)</f>
        <v>        </v>
      </c>
      <c r="AC30" s="20"/>
      <c r="AD30" s="20"/>
      <c r="AE30" s="20"/>
      <c r="AF30" s="62"/>
      <c r="AI30" s="315"/>
      <c r="AJ30" s="316"/>
      <c r="AK30" s="77"/>
      <c r="AL30" s="128"/>
      <c r="AM30" s="129"/>
      <c r="AP30" s="87"/>
      <c r="AQ30" s="87"/>
      <c r="AT30" s="77"/>
      <c r="AU30" s="253" t="s">
        <v>99</v>
      </c>
      <c r="AV30" s="254"/>
      <c r="AW30" s="255"/>
      <c r="AX30" s="77"/>
      <c r="AY30" s="77"/>
      <c r="AZ30" s="77"/>
      <c r="BA30" s="77"/>
      <c r="BB30" s="77"/>
      <c r="BC30" s="77"/>
      <c r="BD30" s="77"/>
      <c r="BE30" s="77"/>
      <c r="BF30" s="77"/>
      <c r="BG30" s="77"/>
    </row>
    <row r="31" spans="1:59" ht="12.75">
      <c r="A31" s="64" t="str">
        <f>IF(N_Fgl&gt;6,"7° figlio"," ")</f>
        <v> </v>
      </c>
      <c r="B31" s="63"/>
      <c r="C31" s="43"/>
      <c r="D31" s="63"/>
      <c r="E31" s="63"/>
      <c r="F31" s="43"/>
      <c r="G31" s="63"/>
      <c r="H31" s="63"/>
      <c r="I31" s="43"/>
      <c r="J31" s="63"/>
      <c r="K31" s="63"/>
      <c r="L31" s="66" t="str">
        <f>IF($D$23&gt;6,ROUND(AB31/12,2),Vuota1)</f>
        <v>        </v>
      </c>
      <c r="M31" s="20"/>
      <c r="N31" s="20"/>
      <c r="O31" s="20"/>
      <c r="P31" s="62"/>
      <c r="Q31" s="64" t="str">
        <f>IF(N_Fgl&gt;6,"7° figlio"," ")</f>
        <v> </v>
      </c>
      <c r="R31" s="63"/>
      <c r="S31" s="43">
        <f t="shared" si="2"/>
        <v>0</v>
      </c>
      <c r="T31" s="63"/>
      <c r="U31" s="63"/>
      <c r="V31" s="43">
        <f t="shared" si="3"/>
        <v>0</v>
      </c>
      <c r="W31" s="63"/>
      <c r="X31" s="63"/>
      <c r="Y31" s="43">
        <f t="shared" si="4"/>
        <v>0</v>
      </c>
      <c r="Z31" s="63"/>
      <c r="AA31" s="43"/>
      <c r="AB31" s="66" t="str">
        <f>IF(N_Fgl&gt;6,ROUND(dsfig*Percm,2)+IF(V31&gt;0,ROUND((dsfg3-dsfig)*Percm,2),0)+IF(Y31&gt;0,ROUND(dsfhc*Percm,2),0),Vuota1)</f>
        <v>        </v>
      </c>
      <c r="AC31" s="20"/>
      <c r="AD31" s="20"/>
      <c r="AE31" s="20"/>
      <c r="AF31" s="62"/>
      <c r="AI31" s="315"/>
      <c r="AJ31" s="316"/>
      <c r="AK31" s="77"/>
      <c r="AL31" s="128"/>
      <c r="AM31" s="129"/>
      <c r="AP31" s="87"/>
      <c r="AQ31" s="87"/>
      <c r="AT31" s="77"/>
      <c r="AU31" s="256"/>
      <c r="AV31" s="257"/>
      <c r="AW31" s="258"/>
      <c r="AX31" s="77"/>
      <c r="AY31" s="77"/>
      <c r="AZ31" s="77"/>
      <c r="BA31" s="77"/>
      <c r="BB31" s="77"/>
      <c r="BC31" s="77"/>
      <c r="BD31" s="77"/>
      <c r="BE31" s="77"/>
      <c r="BF31" s="77"/>
      <c r="BG31" s="77"/>
    </row>
    <row r="32" spans="1:59" ht="12.75">
      <c r="A32" s="5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62"/>
      <c r="Q32" s="57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62"/>
      <c r="AI32" s="315"/>
      <c r="AJ32" s="316"/>
      <c r="AK32" s="77"/>
      <c r="AL32" s="128"/>
      <c r="AM32" s="129"/>
      <c r="AP32" s="87"/>
      <c r="AQ32" s="87"/>
      <c r="AT32" s="77"/>
      <c r="AU32" s="256"/>
      <c r="AV32" s="257"/>
      <c r="AW32" s="258"/>
      <c r="AX32" s="77"/>
      <c r="AY32" s="77"/>
      <c r="AZ32" s="77"/>
      <c r="BA32" s="77"/>
      <c r="BB32" s="77"/>
      <c r="BC32" s="77"/>
      <c r="BD32" s="77"/>
      <c r="BE32" s="77"/>
      <c r="BF32" s="77"/>
      <c r="BG32" s="77"/>
    </row>
    <row r="33" spans="1:59" ht="12.75" customHeight="1">
      <c r="A33" s="286" t="s">
        <v>86</v>
      </c>
      <c r="B33" s="287"/>
      <c r="C33" s="288"/>
      <c r="D33" s="2"/>
      <c r="E33" s="20"/>
      <c r="F33" s="63"/>
      <c r="G33" s="63"/>
      <c r="H33" s="63"/>
      <c r="I33" s="45"/>
      <c r="J33" s="20"/>
      <c r="K33" s="188" t="str">
        <f>IF(D33&gt;0,"Indicare il numero complessivo degli aventi diritto alla detrazione pro quota",Vuota1)</f>
        <v>        </v>
      </c>
      <c r="L33" s="179"/>
      <c r="M33" s="179"/>
      <c r="N33" s="179"/>
      <c r="O33" s="179"/>
      <c r="P33" s="223"/>
      <c r="Q33" s="286" t="s">
        <v>86</v>
      </c>
      <c r="R33" s="287"/>
      <c r="S33" s="288"/>
      <c r="T33" s="2">
        <f>+D33</f>
        <v>0</v>
      </c>
      <c r="U33" s="20"/>
      <c r="V33" s="63" t="str">
        <f>IF(T33&gt;0,"Mesi a carico",Vuota1)</f>
        <v>        </v>
      </c>
      <c r="W33" s="63"/>
      <c r="X33" s="63"/>
      <c r="Y33" s="45">
        <v>12</v>
      </c>
      <c r="Z33" s="20"/>
      <c r="AA33" s="188" t="str">
        <f>IF(T33&gt;0,"Indicare il numero complessivo degli aventi diritto alla detrazione pro quota",Vuota1)</f>
        <v>        </v>
      </c>
      <c r="AB33" s="311"/>
      <c r="AC33" s="311"/>
      <c r="AD33" s="311"/>
      <c r="AE33" s="311"/>
      <c r="AF33" s="223">
        <f>+P33</f>
        <v>0</v>
      </c>
      <c r="AI33" s="315"/>
      <c r="AJ33" s="316"/>
      <c r="AK33" s="77"/>
      <c r="AL33" s="128"/>
      <c r="AM33" s="129"/>
      <c r="AP33" s="87"/>
      <c r="AQ33" s="87"/>
      <c r="AT33" s="77"/>
      <c r="AU33" s="256"/>
      <c r="AV33" s="257"/>
      <c r="AW33" s="258"/>
      <c r="AX33" s="77"/>
      <c r="AY33" s="77"/>
      <c r="AZ33" s="77"/>
      <c r="BA33" s="77"/>
      <c r="BB33" s="77"/>
      <c r="BC33" s="77"/>
      <c r="BD33" s="77"/>
      <c r="BE33" s="77"/>
      <c r="BF33" s="77"/>
      <c r="BG33" s="77"/>
    </row>
    <row r="34" spans="1:59" ht="12.75">
      <c r="A34" s="80"/>
      <c r="B34" s="81"/>
      <c r="C34" s="81"/>
      <c r="D34" s="82"/>
      <c r="E34" s="20"/>
      <c r="F34" s="63"/>
      <c r="G34" s="63"/>
      <c r="H34" s="63"/>
      <c r="I34" s="45"/>
      <c r="J34" s="20"/>
      <c r="K34" s="180"/>
      <c r="L34" s="180"/>
      <c r="M34" s="180"/>
      <c r="N34" s="180"/>
      <c r="O34" s="180"/>
      <c r="P34" s="224"/>
      <c r="Q34" s="80"/>
      <c r="R34" s="81"/>
      <c r="S34" s="81"/>
      <c r="T34" s="82"/>
      <c r="U34" s="20"/>
      <c r="V34" s="63"/>
      <c r="W34" s="63"/>
      <c r="X34" s="63"/>
      <c r="Y34" s="45"/>
      <c r="Z34" s="20"/>
      <c r="AA34" s="180"/>
      <c r="AB34" s="180"/>
      <c r="AC34" s="180"/>
      <c r="AD34" s="180"/>
      <c r="AE34" s="180"/>
      <c r="AF34" s="224"/>
      <c r="AI34" s="315"/>
      <c r="AJ34" s="316"/>
      <c r="AK34" s="77"/>
      <c r="AL34" s="128"/>
      <c r="AM34" s="129"/>
      <c r="AP34" s="87"/>
      <c r="AQ34" s="87"/>
      <c r="AT34" s="77"/>
      <c r="AU34" s="256"/>
      <c r="AV34" s="257"/>
      <c r="AW34" s="258"/>
      <c r="AX34" s="77"/>
      <c r="AY34" s="77"/>
      <c r="AZ34" s="77"/>
      <c r="BA34" s="77"/>
      <c r="BB34" s="77"/>
      <c r="BC34" s="77"/>
      <c r="BD34" s="77"/>
      <c r="BE34" s="77"/>
      <c r="BF34" s="77"/>
      <c r="BG34" s="77"/>
    </row>
    <row r="35" spans="1:59" ht="12.75">
      <c r="A35" s="165" t="s">
        <v>70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7"/>
      <c r="Q35" s="165" t="s">
        <v>70</v>
      </c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7"/>
      <c r="AI35" s="315"/>
      <c r="AJ35" s="316"/>
      <c r="AK35" s="77"/>
      <c r="AL35" s="120">
        <v>0.0001</v>
      </c>
      <c r="AM35" s="121">
        <f>ROUND(DetrConiuge-(Ind*Rapp),2)</f>
        <v>800</v>
      </c>
      <c r="AO35">
        <f>IF(AP35&gt;0,1,0)</f>
        <v>0</v>
      </c>
      <c r="AP35" s="87"/>
      <c r="AQ35" s="87">
        <v>200</v>
      </c>
      <c r="AT35" s="77"/>
      <c r="AU35" s="256"/>
      <c r="AV35" s="257"/>
      <c r="AW35" s="258"/>
      <c r="AX35" s="77"/>
      <c r="AY35" s="77"/>
      <c r="AZ35" s="77"/>
      <c r="BA35" s="77"/>
      <c r="BB35" s="77"/>
      <c r="BC35" s="77"/>
      <c r="BD35" s="77"/>
      <c r="BE35" s="77"/>
      <c r="BF35" s="77"/>
      <c r="BG35" s="77"/>
    </row>
    <row r="36" spans="1:59" ht="12.75">
      <c r="A36" s="290" t="s">
        <v>32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2"/>
      <c r="Q36" s="290" t="s">
        <v>32</v>
      </c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2"/>
      <c r="AH36" s="184" t="s">
        <v>62</v>
      </c>
      <c r="AI36" s="315"/>
      <c r="AJ36" s="316"/>
      <c r="AK36" s="77"/>
      <c r="AL36" s="122">
        <v>1</v>
      </c>
      <c r="AM36" s="121">
        <f>+DetrRid</f>
        <v>690</v>
      </c>
      <c r="AO36">
        <f>IF(AP36&gt;0,1,0)</f>
        <v>0</v>
      </c>
      <c r="AP36" s="87"/>
      <c r="AQ36" s="87">
        <v>1500</v>
      </c>
      <c r="AT36" s="77"/>
      <c r="AU36" s="256"/>
      <c r="AV36" s="257"/>
      <c r="AW36" s="258"/>
      <c r="AX36" s="77"/>
      <c r="AY36" s="77"/>
      <c r="AZ36" s="77"/>
      <c r="BA36" s="77"/>
      <c r="BB36" s="77"/>
      <c r="BC36" s="77"/>
      <c r="BD36" s="77"/>
      <c r="BE36" s="77"/>
      <c r="BF36" s="77"/>
      <c r="BG36" s="77"/>
    </row>
    <row r="37" spans="1:59" ht="12.75">
      <c r="A37" s="225" t="s">
        <v>19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7"/>
      <c r="M37" s="3">
        <f>ROUND(AC37/12,0)</f>
        <v>0</v>
      </c>
      <c r="N37" s="20"/>
      <c r="O37" s="20"/>
      <c r="P37" s="62"/>
      <c r="Q37" s="225" t="s">
        <v>19</v>
      </c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7"/>
      <c r="AC37" s="3">
        <f>IF(CNG="SI",ROUND((VLOOKUP(Redd_Detraz,ConDetr,3)+VLOOKUP(Redd_Detraz,LettB,3))/12*Me_co,2),0)</f>
        <v>0</v>
      </c>
      <c r="AD37" s="20"/>
      <c r="AE37" s="20"/>
      <c r="AF37" s="62"/>
      <c r="AH37" s="184"/>
      <c r="AI37" s="315"/>
      <c r="AJ37" s="316"/>
      <c r="AK37" s="77"/>
      <c r="AL37" s="123">
        <v>10</v>
      </c>
      <c r="AM37" s="124">
        <f>ROUND(DetrConiuge-(Ind*Rapp),2)</f>
        <v>800</v>
      </c>
      <c r="AO37">
        <f>SUM(AO18:AO36)</f>
        <v>0</v>
      </c>
      <c r="AT37" s="77"/>
      <c r="AU37" s="256"/>
      <c r="AV37" s="257"/>
      <c r="AW37" s="258"/>
      <c r="AX37" s="77"/>
      <c r="AY37" s="77"/>
      <c r="AZ37" s="77"/>
      <c r="BA37" s="77"/>
      <c r="BB37" s="77"/>
      <c r="BC37" s="77"/>
      <c r="BD37" s="77"/>
      <c r="BE37" s="77"/>
      <c r="BF37" s="77"/>
      <c r="BG37" s="77"/>
    </row>
    <row r="38" spans="1:59" ht="13.5" thickBot="1">
      <c r="A38" s="225" t="s">
        <v>42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7"/>
      <c r="M38" s="3">
        <f>ROUND(AC38/12,0)</f>
        <v>0</v>
      </c>
      <c r="N38" s="20"/>
      <c r="O38" s="20"/>
      <c r="P38" s="62"/>
      <c r="Q38" s="225" t="s">
        <v>42</v>
      </c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7"/>
      <c r="AC38" s="3">
        <f>SUMIF(AB25:AB31,"&gt;0")</f>
        <v>0</v>
      </c>
      <c r="AD38" s="20"/>
      <c r="AE38" s="20"/>
      <c r="AF38" s="62"/>
      <c r="AH38" s="109">
        <f>IF(Lordo&gt;0,ROUND((VLOOKUP(Redd_Detraz,ConDetr,3)+VLOOKUP(Redd_Detraz,LettB,3)),5),0)</f>
        <v>0</v>
      </c>
      <c r="AI38" s="315"/>
      <c r="AJ38" s="110">
        <v>40000</v>
      </c>
      <c r="AK38" s="77"/>
      <c r="AL38" s="125"/>
      <c r="AM38" s="126">
        <f>+DetrRid</f>
        <v>690</v>
      </c>
      <c r="AT38" s="77"/>
      <c r="AU38" s="259"/>
      <c r="AV38" s="260"/>
      <c r="AW38" s="261"/>
      <c r="AX38" s="77"/>
      <c r="AY38" s="77"/>
      <c r="AZ38" s="77"/>
      <c r="BA38" s="77"/>
      <c r="BB38" s="77"/>
      <c r="BC38" s="77"/>
      <c r="BD38" s="77"/>
      <c r="BE38" s="77"/>
      <c r="BF38" s="77"/>
      <c r="BG38" s="77"/>
    </row>
    <row r="39" spans="1:59" ht="13.5" thickTop="1">
      <c r="A39" s="225" t="s">
        <v>56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7"/>
      <c r="M39" s="3">
        <f>IF(D33&gt;0,IF(P33&gt;0,ROUND(AC39/12,0),0),0)</f>
        <v>0</v>
      </c>
      <c r="N39" s="20"/>
      <c r="O39" s="20"/>
      <c r="P39" s="62"/>
      <c r="Q39" s="225" t="s">
        <v>56</v>
      </c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7"/>
      <c r="AC39" s="3">
        <f>IF(T33&gt;0,ROUND(dsaltri*T33/12*Y33/AF33,2),0)</f>
        <v>0</v>
      </c>
      <c r="AD39" s="20"/>
      <c r="AE39" s="20"/>
      <c r="AF39" s="62"/>
      <c r="AI39" s="315"/>
      <c r="AJ39" s="316">
        <v>80000</v>
      </c>
      <c r="AK39" s="77"/>
      <c r="AL39" s="118">
        <v>0</v>
      </c>
      <c r="AM39" s="119">
        <v>0</v>
      </c>
      <c r="AP39">
        <f>IF(AO37&gt;0,IF(VLOOKUP(AP42,abi,2)&lt;DetrRid,DetrRid,VLOOKUP(AP42,abi,2)),0)</f>
        <v>0</v>
      </c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</row>
    <row r="40" spans="1:59" ht="12.75">
      <c r="A40" s="172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4"/>
      <c r="Q40" s="172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4"/>
      <c r="AH40" s="184" t="s">
        <v>63</v>
      </c>
      <c r="AI40" s="315"/>
      <c r="AJ40" s="316"/>
      <c r="AK40" s="77"/>
      <c r="AL40" s="120">
        <v>0.0001</v>
      </c>
      <c r="AM40" s="121">
        <f>ROUND(DetrRid*Rap1,2)</f>
        <v>1380</v>
      </c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</row>
    <row r="41" spans="1:59" ht="12.75">
      <c r="A41" s="225" t="s">
        <v>76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7"/>
      <c r="M41" s="3">
        <f>SUM(M37:M39)</f>
        <v>0</v>
      </c>
      <c r="N41" s="20"/>
      <c r="O41" s="20"/>
      <c r="P41" s="62"/>
      <c r="Q41" s="225" t="s">
        <v>76</v>
      </c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7"/>
      <c r="AC41" s="3">
        <f>SUM(AC37:AC39)</f>
        <v>0</v>
      </c>
      <c r="AD41" s="20"/>
      <c r="AE41" s="20"/>
      <c r="AF41" s="62"/>
      <c r="AH41" s="184"/>
      <c r="AI41" s="315"/>
      <c r="AJ41" s="316"/>
      <c r="AK41" s="77"/>
      <c r="AL41" s="122">
        <v>1</v>
      </c>
      <c r="AM41" s="121">
        <f>ROUND(DetrRid*Rap1,2)</f>
        <v>1380</v>
      </c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</row>
    <row r="42" spans="1:59" ht="12.75">
      <c r="A42" s="165" t="s">
        <v>71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7"/>
      <c r="Q42" s="165" t="s">
        <v>71</v>
      </c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7"/>
      <c r="AH42" s="106">
        <f>dsfig+IF($V$25&gt;0,dsfg3-dsfig,0)+IF($Y$25&gt;0,dsfhc,0)</f>
        <v>0</v>
      </c>
      <c r="AI42" s="315"/>
      <c r="AJ42" s="316"/>
      <c r="AK42" s="77"/>
      <c r="AL42" s="123">
        <v>10</v>
      </c>
      <c r="AM42" s="124">
        <f>ROUND(DetrRid*Rap1,2)</f>
        <v>1380</v>
      </c>
      <c r="AP42" t="s">
        <v>58</v>
      </c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</row>
    <row r="43" spans="1:59" ht="12.75">
      <c r="A43" s="155" t="s">
        <v>73</v>
      </c>
      <c r="B43" s="156"/>
      <c r="C43" s="156"/>
      <c r="D43" s="156"/>
      <c r="E43" s="156"/>
      <c r="F43" s="157"/>
      <c r="G43" s="46" t="str">
        <f>IF(E17&gt;0,IF(G44&gt;0,Vuota1,"x"),Vuota1)</f>
        <v>        </v>
      </c>
      <c r="H43" s="63"/>
      <c r="I43" s="312" t="s">
        <v>141</v>
      </c>
      <c r="J43" s="158"/>
      <c r="K43" s="158"/>
      <c r="L43" s="158"/>
      <c r="M43" s="2">
        <v>30</v>
      </c>
      <c r="N43" s="20"/>
      <c r="O43" s="20"/>
      <c r="P43" s="62"/>
      <c r="Q43" s="155" t="s">
        <v>73</v>
      </c>
      <c r="R43" s="156"/>
      <c r="S43" s="156"/>
      <c r="T43" s="156"/>
      <c r="U43" s="156"/>
      <c r="V43" s="157"/>
      <c r="W43" s="46" t="str">
        <f>IF(W44&gt;0,Vuota1,"x")</f>
        <v>x</v>
      </c>
      <c r="X43" s="63"/>
      <c r="Y43" s="312" t="s">
        <v>75</v>
      </c>
      <c r="Z43" s="158"/>
      <c r="AA43" s="158"/>
      <c r="AB43" s="158"/>
      <c r="AC43" s="2">
        <v>365</v>
      </c>
      <c r="AD43" s="20"/>
      <c r="AE43" s="20"/>
      <c r="AF43" s="62"/>
      <c r="AI43" s="315"/>
      <c r="AJ43" s="114">
        <v>1000000000</v>
      </c>
      <c r="AK43" s="77"/>
      <c r="AL43" s="130">
        <v>0</v>
      </c>
      <c r="AM43" s="124">
        <v>0</v>
      </c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</row>
    <row r="44" spans="1:59" ht="12.75">
      <c r="A44" s="67" t="s">
        <v>74</v>
      </c>
      <c r="B44" s="68"/>
      <c r="C44" s="68"/>
      <c r="D44" s="68"/>
      <c r="E44" s="68"/>
      <c r="F44" s="20"/>
      <c r="G44" s="2"/>
      <c r="H44" s="63"/>
      <c r="I44" s="63"/>
      <c r="J44" s="63"/>
      <c r="K44" s="158" t="s">
        <v>77</v>
      </c>
      <c r="L44" s="158"/>
      <c r="M44" s="158"/>
      <c r="N44" s="159"/>
      <c r="O44" s="39">
        <f>IF(E17&gt;0,ROUND(AE44/365*M43,0),0)</f>
        <v>0</v>
      </c>
      <c r="P44" s="62"/>
      <c r="Q44" s="67" t="s">
        <v>74</v>
      </c>
      <c r="R44" s="68"/>
      <c r="S44" s="68"/>
      <c r="T44" s="68"/>
      <c r="U44" s="68"/>
      <c r="V44" s="20"/>
      <c r="W44" s="2">
        <f>+G44</f>
        <v>0</v>
      </c>
      <c r="X44" s="63"/>
      <c r="Y44" s="63"/>
      <c r="Z44" s="63"/>
      <c r="AA44" s="158" t="s">
        <v>77</v>
      </c>
      <c r="AB44" s="158"/>
      <c r="AC44" s="158"/>
      <c r="AD44" s="159"/>
      <c r="AE44" s="39">
        <f>IF(Lordo&gt;0,IF(W44&gt;0,IF(Redd_Detraz&lt;8000.01,IF(AH44&gt;AH47,AH44,AH47),AH44),IF(Redd_Detraz&lt;8000.01,IF(AH44&gt;AH46,AH44,AH46),AH44)),0)</f>
        <v>0</v>
      </c>
      <c r="AF44" s="62"/>
      <c r="AH44" s="373">
        <f>IF(Redd_Detraz&gt;0,ROUND((VLOOKUP(Redd_Detraz,Altre_detraz,2)/365*AC43+VLOOKUP(Redd_Detraz,Aum_altre,2)),5),0)</f>
        <v>0</v>
      </c>
      <c r="AI44" s="315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</row>
    <row r="45" spans="1:59" ht="12.75" customHeight="1" thickBot="1">
      <c r="A45" s="6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70"/>
      <c r="Q45" s="69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70"/>
      <c r="AI45" s="315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</row>
    <row r="46" spans="1:59" ht="12.75" customHeight="1" thickBot="1">
      <c r="A46" s="220" t="s">
        <v>142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2"/>
      <c r="O46" s="228">
        <f>+E17-L18</f>
        <v>0</v>
      </c>
      <c r="P46" s="228"/>
      <c r="Q46" s="71" t="s">
        <v>20</v>
      </c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228">
        <f>+Reddito_imponibile_mensile+Gratif_Anno</f>
        <v>0</v>
      </c>
      <c r="AF46" s="228"/>
      <c r="AH46" s="106">
        <v>690</v>
      </c>
      <c r="AI46" s="315"/>
      <c r="AJ46" s="106">
        <v>0.001</v>
      </c>
      <c r="AK46" s="87"/>
      <c r="AL46" s="106">
        <f>VLOOKUP(Rapp,quin,2)</f>
        <v>0</v>
      </c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</row>
    <row r="47" spans="1:59" ht="12.75" customHeight="1" thickBot="1">
      <c r="A47" s="220" t="s">
        <v>143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2"/>
      <c r="O47" s="162">
        <f>ROUND(IreTab/12,5)</f>
        <v>0</v>
      </c>
      <c r="P47" s="162"/>
      <c r="Q47" s="35" t="s">
        <v>60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14">
        <f>IF(Lordo&gt;0,IF(Reddito_imponibile_mensile&gt;0,ROUND((Reddito_imponibile_mensile-VLOOKUP(Reddito_imponibile_mensile,Aliquote,1))*VLOOKUP(Reddito_imponibile_mensile,Aliquote,3),5)+VLOOKUP(Reddito_imponibile_mensile,Aliquote,4),0)+IF(Gratif_Anno&gt;0,ROUND(Gratif_Anno*VLOOKUP(ReddNetto,Aliquote,3),5),0),0)</f>
        <v>0</v>
      </c>
      <c r="AF47" s="314"/>
      <c r="AH47" s="106">
        <v>1380</v>
      </c>
      <c r="AI47" s="315"/>
      <c r="AJ47" s="106">
        <v>15000</v>
      </c>
      <c r="AK47" s="87"/>
      <c r="AL47" s="106">
        <f>+DetrRid</f>
        <v>690</v>
      </c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</row>
    <row r="48" spans="1:59" ht="13.5" thickBot="1">
      <c r="A48" s="220" t="s">
        <v>144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2"/>
      <c r="O48" s="162">
        <f>+M41+O44</f>
        <v>0</v>
      </c>
      <c r="P48" s="162"/>
      <c r="Q48" s="37" t="s">
        <v>36</v>
      </c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162">
        <f>+AC41+AE44</f>
        <v>0</v>
      </c>
      <c r="AF48" s="162"/>
      <c r="AI48" s="315"/>
      <c r="AJ48" s="106">
        <v>40000</v>
      </c>
      <c r="AK48" s="87"/>
      <c r="AL48" s="106">
        <f>VLOOKUP(Rap1,ottan,2)</f>
        <v>1380</v>
      </c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</row>
    <row r="49" spans="1:59" ht="16.5" thickBot="1">
      <c r="A49" s="296" t="s">
        <v>147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97"/>
      <c r="O49" s="326">
        <f>IF(O47-O48&gt;0,O47-O48,0)</f>
        <v>0</v>
      </c>
      <c r="P49" s="178"/>
      <c r="Q49" s="71" t="s">
        <v>61</v>
      </c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177">
        <f>+AE47-AE48</f>
        <v>0</v>
      </c>
      <c r="AF49" s="178"/>
      <c r="AI49" s="315"/>
      <c r="AJ49" s="106">
        <v>80000</v>
      </c>
      <c r="AK49" s="87"/>
      <c r="AL49" s="106">
        <v>0</v>
      </c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</row>
    <row r="50" spans="1:59" ht="16.5" thickBot="1">
      <c r="A50" s="190" t="s">
        <v>146</v>
      </c>
      <c r="B50" s="190"/>
      <c r="C50" s="190"/>
      <c r="D50" s="190"/>
      <c r="E50" s="191" t="str">
        <f>IF(E17&gt;0,VLOOKUP(ReddNetto,Aliquote,3),Vuota1)</f>
        <v>        </v>
      </c>
      <c r="F50" s="191"/>
      <c r="G50" s="152"/>
      <c r="H50" s="152"/>
      <c r="I50" s="152"/>
      <c r="J50" s="152"/>
      <c r="K50" s="323" t="s">
        <v>131</v>
      </c>
      <c r="L50" s="323"/>
      <c r="M50" s="323"/>
      <c r="N50" s="323"/>
      <c r="O50" s="324">
        <f>+O49</f>
        <v>0</v>
      </c>
      <c r="P50" s="325"/>
      <c r="Q50" s="72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73"/>
      <c r="AI50" s="315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</row>
    <row r="51" spans="17:59" ht="12.75">
      <c r="Q51" s="57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62"/>
      <c r="AI51" s="315"/>
      <c r="AJ51" s="137">
        <v>0</v>
      </c>
      <c r="AK51" s="138"/>
      <c r="AL51" s="115">
        <v>0</v>
      </c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</row>
    <row r="52" spans="17:59" ht="13.5">
      <c r="Q52" s="168" t="s">
        <v>21</v>
      </c>
      <c r="R52" s="169"/>
      <c r="S52" s="169"/>
      <c r="T52" s="153"/>
      <c r="U52" s="163" t="s">
        <v>22</v>
      </c>
      <c r="V52" s="154"/>
      <c r="W52" s="164"/>
      <c r="X52" s="163" t="s">
        <v>23</v>
      </c>
      <c r="Y52" s="154"/>
      <c r="Z52" s="164"/>
      <c r="AA52" s="163" t="s">
        <v>24</v>
      </c>
      <c r="AB52" s="164"/>
      <c r="AC52" s="52" t="s">
        <v>25</v>
      </c>
      <c r="AD52" s="163" t="s">
        <v>26</v>
      </c>
      <c r="AE52" s="164"/>
      <c r="AF52" s="62"/>
      <c r="AI52" s="315"/>
      <c r="AJ52" s="139">
        <v>29000.01</v>
      </c>
      <c r="AK52" s="140"/>
      <c r="AL52" s="116">
        <v>10</v>
      </c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</row>
    <row r="53" spans="17:59" ht="12.75">
      <c r="Q53" s="163" t="s">
        <v>27</v>
      </c>
      <c r="R53" s="154"/>
      <c r="S53" s="154"/>
      <c r="T53" s="164"/>
      <c r="U53" s="53"/>
      <c r="V53" s="2">
        <v>1.4</v>
      </c>
      <c r="W53" s="53"/>
      <c r="X53" s="175">
        <f>+ReddNetto</f>
        <v>0</v>
      </c>
      <c r="Y53" s="219"/>
      <c r="Z53" s="176"/>
      <c r="AA53" s="175">
        <f>ROUND(X53*V53%,2)</f>
        <v>0</v>
      </c>
      <c r="AB53" s="176"/>
      <c r="AC53" s="2">
        <v>10</v>
      </c>
      <c r="AD53" s="175">
        <f>ROUND(AA53/AC53,2)</f>
        <v>0</v>
      </c>
      <c r="AE53" s="176"/>
      <c r="AF53" s="62"/>
      <c r="AI53" s="315"/>
      <c r="AJ53" s="139">
        <v>29200.01</v>
      </c>
      <c r="AK53" s="140"/>
      <c r="AL53" s="116">
        <v>20</v>
      </c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</row>
    <row r="54" spans="17:59" ht="12.75">
      <c r="Q54" s="163" t="s">
        <v>28</v>
      </c>
      <c r="R54" s="154"/>
      <c r="S54" s="154"/>
      <c r="T54" s="164"/>
      <c r="U54" s="53"/>
      <c r="V54" s="2">
        <v>0.4</v>
      </c>
      <c r="W54" s="53"/>
      <c r="X54" s="175">
        <f>+ReddNetto</f>
        <v>0</v>
      </c>
      <c r="Y54" s="219"/>
      <c r="Z54" s="176"/>
      <c r="AA54" s="175">
        <f>ROUND(X54*V54%,2)</f>
        <v>0</v>
      </c>
      <c r="AB54" s="176"/>
      <c r="AC54" s="52" t="s">
        <v>25</v>
      </c>
      <c r="AD54" s="163" t="s">
        <v>26</v>
      </c>
      <c r="AE54" s="164"/>
      <c r="AF54" s="62"/>
      <c r="AI54" s="315"/>
      <c r="AJ54" s="139">
        <v>34700.01</v>
      </c>
      <c r="AK54" s="140"/>
      <c r="AL54" s="116">
        <v>30</v>
      </c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</row>
    <row r="55" spans="17:59" ht="12.75">
      <c r="Q55" s="282" t="s">
        <v>87</v>
      </c>
      <c r="R55" s="282"/>
      <c r="S55" s="84">
        <v>16</v>
      </c>
      <c r="T55" s="282" t="s">
        <v>88</v>
      </c>
      <c r="U55" s="282"/>
      <c r="V55" s="282"/>
      <c r="W55" s="282"/>
      <c r="X55" s="283" t="s">
        <v>89</v>
      </c>
      <c r="Y55" s="283"/>
      <c r="Z55" s="50" t="s">
        <v>79</v>
      </c>
      <c r="AA55" s="51"/>
      <c r="AB55" s="39">
        <f>ROUND(AA54*30%,2)</f>
        <v>0</v>
      </c>
      <c r="AC55" s="2">
        <v>10</v>
      </c>
      <c r="AD55" s="175">
        <f>ROUND(AB55/AC55,2)</f>
        <v>0</v>
      </c>
      <c r="AE55" s="176"/>
      <c r="AF55" s="62"/>
      <c r="AI55" s="315"/>
      <c r="AJ55" s="139">
        <v>35000.01</v>
      </c>
      <c r="AK55" s="140"/>
      <c r="AL55" s="116">
        <v>20</v>
      </c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</row>
    <row r="56" spans="17:59" ht="12.75">
      <c r="Q56" s="57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62"/>
      <c r="AI56" s="315"/>
      <c r="AJ56" s="139">
        <v>35100.01</v>
      </c>
      <c r="AK56" s="140"/>
      <c r="AL56" s="116">
        <v>10</v>
      </c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</row>
    <row r="57" spans="17:59" ht="12.75" customHeight="1" thickBot="1">
      <c r="Q57" s="57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62"/>
      <c r="AI57" s="315"/>
      <c r="AJ57" s="141">
        <v>35200.01</v>
      </c>
      <c r="AK57" s="142"/>
      <c r="AL57" s="117">
        <v>0</v>
      </c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</row>
    <row r="58" spans="17:59" ht="12.75">
      <c r="Q58" s="74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</row>
    <row r="59" spans="35:39" ht="12.75">
      <c r="AI59" t="s">
        <v>46</v>
      </c>
      <c r="AJ59" s="19" t="s">
        <v>47</v>
      </c>
      <c r="AK59" s="171" t="s">
        <v>52</v>
      </c>
      <c r="AL59" s="18" t="s">
        <v>48</v>
      </c>
      <c r="AM59" s="18" t="s">
        <v>53</v>
      </c>
    </row>
    <row r="60" spans="36:39" ht="12.75">
      <c r="AJ60" s="86">
        <v>95000</v>
      </c>
      <c r="AK60" s="171"/>
      <c r="AL60" s="106">
        <v>15000</v>
      </c>
      <c r="AM60" s="106">
        <f>IF(AK61&gt;1,ROUND((AK61-1)*AL60,2)+AJ60,AJ60)</f>
        <v>95000</v>
      </c>
    </row>
    <row r="61" spans="36:41" ht="12.75">
      <c r="AJ61" s="18" t="s">
        <v>55</v>
      </c>
      <c r="AK61" s="87">
        <f>+N_Fgl</f>
        <v>0</v>
      </c>
      <c r="AL61" s="18" t="s">
        <v>54</v>
      </c>
      <c r="AM61" s="18" t="s">
        <v>45</v>
      </c>
      <c r="AN61" s="18"/>
      <c r="AO61" s="18" t="s">
        <v>41</v>
      </c>
    </row>
    <row r="62" spans="35:44" ht="12.75">
      <c r="AI62" t="s">
        <v>51</v>
      </c>
      <c r="AJ62" s="106">
        <f>IF(Som_fg&gt;3,1000,800)</f>
        <v>800</v>
      </c>
      <c r="AL62" s="106">
        <f>ROUND(fgl*VLOOKUP($AO$62,IndRapp,2),2)</f>
        <v>0</v>
      </c>
      <c r="AM62" s="112">
        <v>0</v>
      </c>
      <c r="AN62" s="77">
        <v>0</v>
      </c>
      <c r="AO62" s="83">
        <f>ROUND((ImFisFin-Redd_Detraz)/ImFisFin,6)</f>
        <v>1</v>
      </c>
      <c r="AQ62" s="87">
        <f>+dsfig</f>
        <v>0</v>
      </c>
      <c r="AR62" s="87">
        <f>+AQ62</f>
        <v>0</v>
      </c>
    </row>
    <row r="63" spans="35:44" ht="12.75">
      <c r="AI63" t="s">
        <v>49</v>
      </c>
      <c r="AJ63" s="106">
        <f>IF(Som_fg&gt;3,1100,900)</f>
        <v>900</v>
      </c>
      <c r="AL63" s="106">
        <f>ROUND(AJ63*VLOOKUP($AO$62,IndRapp,2),2)</f>
        <v>0</v>
      </c>
      <c r="AM63" s="113">
        <v>0.0001</v>
      </c>
      <c r="AN63" s="77">
        <f>+AO62</f>
        <v>1</v>
      </c>
      <c r="AQ63" s="87">
        <f>+dsfg3</f>
        <v>0</v>
      </c>
      <c r="AR63" s="87">
        <f>+AQ63</f>
        <v>0</v>
      </c>
    </row>
    <row r="64" spans="35:44" ht="12.75">
      <c r="AI64" t="s">
        <v>50</v>
      </c>
      <c r="AJ64" s="106">
        <v>220</v>
      </c>
      <c r="AL64" s="106">
        <f>ROUND(fglh*VLOOKUP($AO$62,IndRapp,2),2)</f>
        <v>0</v>
      </c>
      <c r="AM64" s="110">
        <v>1</v>
      </c>
      <c r="AN64" s="77">
        <v>0</v>
      </c>
      <c r="AQ64" s="87">
        <f>+dsfhc</f>
        <v>0</v>
      </c>
      <c r="AR64" s="87">
        <f>+AQ64</f>
        <v>0</v>
      </c>
    </row>
    <row r="65" spans="38:40" ht="12.75">
      <c r="AL65" s="85"/>
      <c r="AM65" s="110">
        <v>10</v>
      </c>
      <c r="AN65" s="77">
        <f>+AO62</f>
        <v>1</v>
      </c>
    </row>
    <row r="66" spans="35:38" ht="12.75">
      <c r="AI66" t="s">
        <v>57</v>
      </c>
      <c r="AJ66" s="87">
        <v>750</v>
      </c>
      <c r="AL66" s="106">
        <f>ROUND(Altri*VLOOKUP(AO67,Rapp_Altri,2),4)</f>
        <v>0</v>
      </c>
    </row>
    <row r="67" ht="12.75">
      <c r="AO67" s="83">
        <f>TRUNC((80000-Redd_Detraz)/80000,6)</f>
        <v>1</v>
      </c>
    </row>
    <row r="68" spans="35:41" ht="12.75">
      <c r="AI68" t="s">
        <v>72</v>
      </c>
      <c r="AL68" t="s">
        <v>41</v>
      </c>
      <c r="AN68" s="131">
        <v>0</v>
      </c>
      <c r="AO68" s="87">
        <v>0</v>
      </c>
    </row>
    <row r="69" spans="35:41" ht="12.75">
      <c r="AI69" s="106">
        <v>1</v>
      </c>
      <c r="AJ69" s="106">
        <v>1840</v>
      </c>
      <c r="AL69" s="83">
        <f>IF(ROUND((15000-Redd_Detraz)/7000,6)&gt;0,ROUND((15000-Redd_Detraz)/7000,6),0)</f>
        <v>2.142857</v>
      </c>
      <c r="AN69" s="132">
        <v>0.0001</v>
      </c>
      <c r="AO69" s="133">
        <f>+AO67</f>
        <v>1</v>
      </c>
    </row>
    <row r="70" spans="35:41" ht="12.75">
      <c r="AI70" s="106">
        <v>8000.01</v>
      </c>
      <c r="AJ70" s="106">
        <f>1338+ROUND(502*AL69,2)</f>
        <v>2413.71</v>
      </c>
      <c r="AL70">
        <f>ROUND((55000-Redd_Detraz)/40000,6)</f>
        <v>1.375</v>
      </c>
      <c r="AN70" s="107">
        <v>1</v>
      </c>
      <c r="AO70" s="87">
        <v>0</v>
      </c>
    </row>
    <row r="71" spans="35:41" ht="12.75">
      <c r="AI71" s="106">
        <v>15000.01</v>
      </c>
      <c r="AJ71" s="106">
        <f>ROUND(1338*AL70,2)</f>
        <v>1839.75</v>
      </c>
      <c r="AN71" s="107">
        <v>10</v>
      </c>
      <c r="AO71" s="133">
        <f>+AO67</f>
        <v>1</v>
      </c>
    </row>
    <row r="72" spans="35:41" ht="12.75">
      <c r="AI72" s="106">
        <v>55000.01</v>
      </c>
      <c r="AJ72" s="106">
        <v>0</v>
      </c>
      <c r="AN72" s="12"/>
      <c r="AO72" s="83"/>
    </row>
    <row r="73" spans="35:36" ht="12.75">
      <c r="AI73" s="106">
        <v>100000000</v>
      </c>
      <c r="AJ73" s="106">
        <v>0</v>
      </c>
    </row>
    <row r="75" spans="35:36" ht="12.75">
      <c r="AI75" s="108">
        <v>0</v>
      </c>
      <c r="AJ75" s="87">
        <v>0</v>
      </c>
    </row>
    <row r="76" spans="35:36" ht="12.75">
      <c r="AI76" s="108">
        <v>23000.01</v>
      </c>
      <c r="AJ76" s="87">
        <v>10</v>
      </c>
    </row>
    <row r="77" spans="35:36" ht="12.75">
      <c r="AI77" s="108">
        <v>24000.01</v>
      </c>
      <c r="AJ77" s="87">
        <v>20</v>
      </c>
    </row>
    <row r="78" spans="35:36" ht="12.75">
      <c r="AI78" s="108">
        <v>25000.01</v>
      </c>
      <c r="AJ78" s="87">
        <v>30</v>
      </c>
    </row>
    <row r="79" spans="35:36" ht="12.75">
      <c r="AI79" s="108">
        <v>26000.01</v>
      </c>
      <c r="AJ79" s="87">
        <v>40</v>
      </c>
    </row>
    <row r="80" spans="35:36" ht="12.75">
      <c r="AI80" s="108">
        <v>27700.01</v>
      </c>
      <c r="AJ80" s="87">
        <v>25</v>
      </c>
    </row>
    <row r="81" spans="1:36" ht="12.75">
      <c r="A81" s="4"/>
      <c r="AI81" s="108">
        <v>28000.01</v>
      </c>
      <c r="AJ81" s="87">
        <v>0</v>
      </c>
    </row>
    <row r="111" ht="12.75">
      <c r="A111" s="4" t="s">
        <v>100</v>
      </c>
    </row>
    <row r="124" ht="12.75">
      <c r="A124" s="90"/>
    </row>
  </sheetData>
  <sheetProtection password="BE24" sheet="1" objects="1" scenarios="1" selectLockedCells="1"/>
  <mergeCells count="164">
    <mergeCell ref="A48:N48"/>
    <mergeCell ref="A49:N49"/>
    <mergeCell ref="A50:D50"/>
    <mergeCell ref="E50:F50"/>
    <mergeCell ref="K50:N50"/>
    <mergeCell ref="A47:N47"/>
    <mergeCell ref="Q16:T16"/>
    <mergeCell ref="U16:W16"/>
    <mergeCell ref="H17:K17"/>
    <mergeCell ref="H16:K16"/>
    <mergeCell ref="A16:D16"/>
    <mergeCell ref="E16:G16"/>
    <mergeCell ref="H18:K18"/>
    <mergeCell ref="A17:D17"/>
    <mergeCell ref="Q37:AB37"/>
    <mergeCell ref="AD5:AF5"/>
    <mergeCell ref="AU30:AW38"/>
    <mergeCell ref="A15:D15"/>
    <mergeCell ref="A14:D14"/>
    <mergeCell ref="U14:W14"/>
    <mergeCell ref="E17:G17"/>
    <mergeCell ref="A20:P20"/>
    <mergeCell ref="X16:AA16"/>
    <mergeCell ref="A21:C21"/>
    <mergeCell ref="AC16:AD16"/>
    <mergeCell ref="Z4:AA4"/>
    <mergeCell ref="V6:Z6"/>
    <mergeCell ref="AB6:AC6"/>
    <mergeCell ref="T6:U6"/>
    <mergeCell ref="X15:AA15"/>
    <mergeCell ref="U9:W9"/>
    <mergeCell ref="X7:AB7"/>
    <mergeCell ref="X9:AA9"/>
    <mergeCell ref="X10:AA10"/>
    <mergeCell ref="U8:W8"/>
    <mergeCell ref="X8:AA8"/>
    <mergeCell ref="AU1:AW2"/>
    <mergeCell ref="AU21:AW25"/>
    <mergeCell ref="AU4:AW4"/>
    <mergeCell ref="AU5:AW5"/>
    <mergeCell ref="AU3:AW3"/>
    <mergeCell ref="T55:W55"/>
    <mergeCell ref="X55:Y55"/>
    <mergeCell ref="X14:AA14"/>
    <mergeCell ref="U13:W13"/>
    <mergeCell ref="X13:AA13"/>
    <mergeCell ref="X17:AA17"/>
    <mergeCell ref="X54:Z54"/>
    <mergeCell ref="U17:W17"/>
    <mergeCell ref="Q41:AB41"/>
    <mergeCell ref="Q38:AB38"/>
    <mergeCell ref="Q33:S33"/>
    <mergeCell ref="Q21:S21"/>
    <mergeCell ref="Q43:V43"/>
    <mergeCell ref="Q39:AB39"/>
    <mergeCell ref="Q36:AF36"/>
    <mergeCell ref="AF25:AF27"/>
    <mergeCell ref="R24:T24"/>
    <mergeCell ref="U24:W24"/>
    <mergeCell ref="X24:Z24"/>
    <mergeCell ref="Q35:AF35"/>
    <mergeCell ref="AC25:AE27"/>
    <mergeCell ref="AA33:AE34"/>
    <mergeCell ref="AD52:AE52"/>
    <mergeCell ref="AE48:AF48"/>
    <mergeCell ref="AE46:AF46"/>
    <mergeCell ref="Y43:AB43"/>
    <mergeCell ref="AA44:AD44"/>
    <mergeCell ref="X52:Z52"/>
    <mergeCell ref="AD55:AE55"/>
    <mergeCell ref="AD54:AE54"/>
    <mergeCell ref="Q42:AF42"/>
    <mergeCell ref="Q52:T52"/>
    <mergeCell ref="AA53:AB53"/>
    <mergeCell ref="X53:Z53"/>
    <mergeCell ref="U52:W52"/>
    <mergeCell ref="Q53:T53"/>
    <mergeCell ref="Q54:T54"/>
    <mergeCell ref="Q55:R55"/>
    <mergeCell ref="Q3:AF3"/>
    <mergeCell ref="T5:Y5"/>
    <mergeCell ref="Z5:AB5"/>
    <mergeCell ref="AK59:AK60"/>
    <mergeCell ref="Q40:AF40"/>
    <mergeCell ref="AA54:AB54"/>
    <mergeCell ref="AE49:AF49"/>
    <mergeCell ref="AE47:AF47"/>
    <mergeCell ref="AA52:AB52"/>
    <mergeCell ref="AD53:AE53"/>
    <mergeCell ref="AH36:AH37"/>
    <mergeCell ref="AH40:AH41"/>
    <mergeCell ref="AI1:AL1"/>
    <mergeCell ref="AI12:AM12"/>
    <mergeCell ref="AI19:AI57"/>
    <mergeCell ref="AJ19:AJ37"/>
    <mergeCell ref="AJ39:AJ42"/>
    <mergeCell ref="Q1:AF1"/>
    <mergeCell ref="Q2:AF2"/>
    <mergeCell ref="AF33:AF34"/>
    <mergeCell ref="U15:W15"/>
    <mergeCell ref="Q7:W7"/>
    <mergeCell ref="Q6:S6"/>
    <mergeCell ref="Q20:AF20"/>
    <mergeCell ref="U10:W10"/>
    <mergeCell ref="U11:W11"/>
    <mergeCell ref="U12:W12"/>
    <mergeCell ref="N5:P5"/>
    <mergeCell ref="A1:P1"/>
    <mergeCell ref="A2:P2"/>
    <mergeCell ref="A3:P3"/>
    <mergeCell ref="J4:K4"/>
    <mergeCell ref="B4:G4"/>
    <mergeCell ref="E8:G8"/>
    <mergeCell ref="H8:K8"/>
    <mergeCell ref="D5:I5"/>
    <mergeCell ref="J5:L5"/>
    <mergeCell ref="C6:G6"/>
    <mergeCell ref="A7:G7"/>
    <mergeCell ref="H7:L7"/>
    <mergeCell ref="A6:B6"/>
    <mergeCell ref="I6:K6"/>
    <mergeCell ref="E13:G13"/>
    <mergeCell ref="E14:G14"/>
    <mergeCell ref="E15:G15"/>
    <mergeCell ref="H15:K15"/>
    <mergeCell ref="H14:K14"/>
    <mergeCell ref="H13:K13"/>
    <mergeCell ref="A33:C33"/>
    <mergeCell ref="K33:O34"/>
    <mergeCell ref="P33:P34"/>
    <mergeCell ref="M28:P29"/>
    <mergeCell ref="M25:O27"/>
    <mergeCell ref="B24:D24"/>
    <mergeCell ref="E24:G24"/>
    <mergeCell ref="P25:P27"/>
    <mergeCell ref="A43:F43"/>
    <mergeCell ref="I43:L43"/>
    <mergeCell ref="K44:N44"/>
    <mergeCell ref="O46:P46"/>
    <mergeCell ref="A46:N46"/>
    <mergeCell ref="M6:P6"/>
    <mergeCell ref="O47:P47"/>
    <mergeCell ref="A39:L39"/>
    <mergeCell ref="A40:P40"/>
    <mergeCell ref="A41:L41"/>
    <mergeCell ref="A42:P42"/>
    <mergeCell ref="A35:P35"/>
    <mergeCell ref="A36:P36"/>
    <mergeCell ref="E11:G11"/>
    <mergeCell ref="E12:G12"/>
    <mergeCell ref="E9:G9"/>
    <mergeCell ref="H9:K9"/>
    <mergeCell ref="E10:G10"/>
    <mergeCell ref="H10:K10"/>
    <mergeCell ref="O50:P50"/>
    <mergeCell ref="X12:AA12"/>
    <mergeCell ref="H11:K11"/>
    <mergeCell ref="X11:AA11"/>
    <mergeCell ref="O48:P48"/>
    <mergeCell ref="O49:P49"/>
    <mergeCell ref="A37:L37"/>
    <mergeCell ref="A38:L38"/>
    <mergeCell ref="H24:J24"/>
    <mergeCell ref="H12:K12"/>
  </mergeCells>
  <conditionalFormatting sqref="Z27">
    <cfRule type="expression" priority="1" dxfId="0" stopIfTrue="1">
      <formula>$T$23&gt;2</formula>
    </cfRule>
  </conditionalFormatting>
  <conditionalFormatting sqref="Z28">
    <cfRule type="expression" priority="2" dxfId="0" stopIfTrue="1">
      <formula>$T$23&gt;3</formula>
    </cfRule>
  </conditionalFormatting>
  <conditionalFormatting sqref="Z29">
    <cfRule type="expression" priority="3" dxfId="0" stopIfTrue="1">
      <formula>$T$23&gt;4</formula>
    </cfRule>
  </conditionalFormatting>
  <conditionalFormatting sqref="Z30">
    <cfRule type="expression" priority="4" dxfId="0" stopIfTrue="1">
      <formula>$T$23&gt;5</formula>
    </cfRule>
  </conditionalFormatting>
  <conditionalFormatting sqref="Z31">
    <cfRule type="expression" priority="5" dxfId="0" stopIfTrue="1">
      <formula>$T$23&gt;6</formula>
    </cfRule>
  </conditionalFormatting>
  <conditionalFormatting sqref="AB25">
    <cfRule type="expression" priority="6" dxfId="1" stopIfTrue="1">
      <formula>$T$23&gt;0</formula>
    </cfRule>
  </conditionalFormatting>
  <conditionalFormatting sqref="AB26">
    <cfRule type="expression" priority="7" dxfId="1" stopIfTrue="1">
      <formula>$T$23&gt;1</formula>
    </cfRule>
  </conditionalFormatting>
  <conditionalFormatting sqref="AB27">
    <cfRule type="expression" priority="8" dxfId="1" stopIfTrue="1">
      <formula>$T$23&gt;2</formula>
    </cfRule>
  </conditionalFormatting>
  <conditionalFormatting sqref="AB28">
    <cfRule type="expression" priority="9" dxfId="1" stopIfTrue="1">
      <formula>$T$23&gt;3</formula>
    </cfRule>
  </conditionalFormatting>
  <conditionalFormatting sqref="AB29">
    <cfRule type="expression" priority="10" dxfId="1" stopIfTrue="1">
      <formula>$T$23&gt;4</formula>
    </cfRule>
  </conditionalFormatting>
  <conditionalFormatting sqref="AB30">
    <cfRule type="expression" priority="11" dxfId="1" stopIfTrue="1">
      <formula>$T$23&gt;5</formula>
    </cfRule>
  </conditionalFormatting>
  <conditionalFormatting sqref="AB31">
    <cfRule type="expression" priority="12" dxfId="1" stopIfTrue="1">
      <formula>$T$23&gt;6</formula>
    </cfRule>
  </conditionalFormatting>
  <conditionalFormatting sqref="Q26">
    <cfRule type="expression" priority="13" dxfId="2" stopIfTrue="1">
      <formula>$T$23&gt;1</formula>
    </cfRule>
  </conditionalFormatting>
  <conditionalFormatting sqref="Q25 T25 W25 Z25 G25 D25">
    <cfRule type="expression" priority="14" dxfId="2" stopIfTrue="1">
      <formula>$T$23&gt;0</formula>
    </cfRule>
  </conditionalFormatting>
  <conditionalFormatting sqref="R25 J25:K25">
    <cfRule type="expression" priority="15" dxfId="3" stopIfTrue="1">
      <formula>$T$23&gt;0</formula>
    </cfRule>
  </conditionalFormatting>
  <conditionalFormatting sqref="U25 X25 E25 H25">
    <cfRule type="expression" priority="16" dxfId="4" stopIfTrue="1">
      <formula>$T$23&gt;0</formula>
    </cfRule>
  </conditionalFormatting>
  <conditionalFormatting sqref="Y21">
    <cfRule type="expression" priority="17" dxfId="5" stopIfTrue="1">
      <formula>$T$21="si"</formula>
    </cfRule>
  </conditionalFormatting>
  <conditionalFormatting sqref="AD23 AA25 C25 F25 I25 V25:V31 S25:S31 Y25:Y31">
    <cfRule type="expression" priority="18" dxfId="5" stopIfTrue="1">
      <formula>$T$23&gt;0</formula>
    </cfRule>
  </conditionalFormatting>
  <conditionalFormatting sqref="AF23">
    <cfRule type="expression" priority="19" dxfId="5" stopIfTrue="1">
      <formula>$AD$23&gt;0</formula>
    </cfRule>
  </conditionalFormatting>
  <conditionalFormatting sqref="F26 C26 I26 AA26">
    <cfRule type="expression" priority="20" dxfId="5" stopIfTrue="1">
      <formula>$T$23&gt;1</formula>
    </cfRule>
  </conditionalFormatting>
  <conditionalFormatting sqref="F27 C27 I27 AA27">
    <cfRule type="expression" priority="21" dxfId="5" stopIfTrue="1">
      <formula>$T$23&gt;2</formula>
    </cfRule>
  </conditionalFormatting>
  <conditionalFormatting sqref="F28 C28 I28 AA28">
    <cfRule type="expression" priority="22" dxfId="5" stopIfTrue="1">
      <formula>$T$23&gt;3</formula>
    </cfRule>
  </conditionalFormatting>
  <conditionalFormatting sqref="F29 C29 I29 AA29">
    <cfRule type="expression" priority="23" dxfId="5" stopIfTrue="1">
      <formula>$T$23&gt;4</formula>
    </cfRule>
  </conditionalFormatting>
  <conditionalFormatting sqref="AA30">
    <cfRule type="expression" priority="24" dxfId="5" stopIfTrue="1">
      <formula>$T$23&gt;5</formula>
    </cfRule>
  </conditionalFormatting>
  <conditionalFormatting sqref="AA31">
    <cfRule type="expression" priority="25" dxfId="5" stopIfTrue="1">
      <formula>$T$23&gt;6</formula>
    </cfRule>
  </conditionalFormatting>
  <conditionalFormatting sqref="Y34">
    <cfRule type="expression" priority="26" dxfId="5" stopIfTrue="1">
      <formula>$T$33="si"</formula>
    </cfRule>
  </conditionalFormatting>
  <conditionalFormatting sqref="Y33 AF33:AF34 P33:P34">
    <cfRule type="expression" priority="27" dxfId="5" stopIfTrue="1">
      <formula>$T$33&gt;0</formula>
    </cfRule>
  </conditionalFormatting>
  <conditionalFormatting sqref="AA33:AE34 K33:O34">
    <cfRule type="expression" priority="28" dxfId="1" stopIfTrue="1">
      <formula>$T$33&gt;0</formula>
    </cfRule>
  </conditionalFormatting>
  <conditionalFormatting sqref="R26 T26:U26 W26:X26 Z26 G26:H26 D26:E26 J26:K26">
    <cfRule type="expression" priority="29" dxfId="3" stopIfTrue="1">
      <formula>$T$23&gt;1</formula>
    </cfRule>
  </conditionalFormatting>
  <conditionalFormatting sqref="R27 T27:U27 W27:X27 G27:H27 D27:E27 J27:K27">
    <cfRule type="expression" priority="30" dxfId="3" stopIfTrue="1">
      <formula>$T$23&gt;2</formula>
    </cfRule>
  </conditionalFormatting>
  <conditionalFormatting sqref="Q27">
    <cfRule type="expression" priority="31" dxfId="2" stopIfTrue="1">
      <formula>$T$23&gt;2</formula>
    </cfRule>
  </conditionalFormatting>
  <conditionalFormatting sqref="Q28">
    <cfRule type="expression" priority="32" dxfId="2" stopIfTrue="1">
      <formula>$T$23&gt;3</formula>
    </cfRule>
  </conditionalFormatting>
  <conditionalFormatting sqref="R28 T28:U28 W28:X28 G28:H28 D28:E28 J28:K28">
    <cfRule type="expression" priority="33" dxfId="3" stopIfTrue="1">
      <formula>$T$23&gt;3</formula>
    </cfRule>
  </conditionalFormatting>
  <conditionalFormatting sqref="Q29">
    <cfRule type="expression" priority="34" dxfId="2" stopIfTrue="1">
      <formula>$T$23&gt;4</formula>
    </cfRule>
  </conditionalFormatting>
  <conditionalFormatting sqref="R29 T29:U29 W29:X29 G29:H29 D29:E29 J29:K29">
    <cfRule type="expression" priority="35" dxfId="3" stopIfTrue="1">
      <formula>$T$23&gt;4</formula>
    </cfRule>
  </conditionalFormatting>
  <conditionalFormatting sqref="Q30">
    <cfRule type="expression" priority="36" dxfId="2" stopIfTrue="1">
      <formula>$T$23&gt;5</formula>
    </cfRule>
  </conditionalFormatting>
  <conditionalFormatting sqref="R30 T30:U30 W30:X30">
    <cfRule type="expression" priority="37" dxfId="3" stopIfTrue="1">
      <formula>$T$23&gt;5</formula>
    </cfRule>
  </conditionalFormatting>
  <conditionalFormatting sqref="Q31">
    <cfRule type="expression" priority="38" dxfId="2" stopIfTrue="1">
      <formula>$T$23&gt;6</formula>
    </cfRule>
  </conditionalFormatting>
  <conditionalFormatting sqref="R31 T31:U31 W31:X31">
    <cfRule type="expression" priority="39" dxfId="3" stopIfTrue="1">
      <formula>$T$23&gt;6</formula>
    </cfRule>
  </conditionalFormatting>
  <conditionalFormatting sqref="L25">
    <cfRule type="expression" priority="40" dxfId="1" stopIfTrue="1">
      <formula>$D$23&gt;0</formula>
    </cfRule>
  </conditionalFormatting>
  <conditionalFormatting sqref="N23">
    <cfRule type="expression" priority="41" dxfId="5" stopIfTrue="1">
      <formula>$D$23&gt;0</formula>
    </cfRule>
  </conditionalFormatting>
  <conditionalFormatting sqref="C30 F30 I30">
    <cfRule type="expression" priority="42" dxfId="5" stopIfTrue="1">
      <formula>$D$23&gt;5</formula>
    </cfRule>
  </conditionalFormatting>
  <conditionalFormatting sqref="C31 F31 I31">
    <cfRule type="expression" priority="43" dxfId="5" stopIfTrue="1">
      <formula>$D$23&gt;6</formula>
    </cfRule>
  </conditionalFormatting>
  <conditionalFormatting sqref="I34">
    <cfRule type="expression" priority="44" dxfId="5" stopIfTrue="1">
      <formula>$D$33="si"</formula>
    </cfRule>
  </conditionalFormatting>
  <conditionalFormatting sqref="A30">
    <cfRule type="expression" priority="45" dxfId="2" stopIfTrue="1">
      <formula>$D$23&gt;5</formula>
    </cfRule>
  </conditionalFormatting>
  <conditionalFormatting sqref="G30:H30 D30:E30 B30 J30:K30">
    <cfRule type="expression" priority="46" dxfId="3" stopIfTrue="1">
      <formula>$D$23&gt;5</formula>
    </cfRule>
  </conditionalFormatting>
  <conditionalFormatting sqref="A31">
    <cfRule type="expression" priority="47" dxfId="2" stopIfTrue="1">
      <formula>$D$23&gt;6</formula>
    </cfRule>
  </conditionalFormatting>
  <conditionalFormatting sqref="G31:H31 D31:E31 B31 J31:K31">
    <cfRule type="expression" priority="48" dxfId="3" stopIfTrue="1">
      <formula>$D$23&gt;6</formula>
    </cfRule>
  </conditionalFormatting>
  <conditionalFormatting sqref="A26">
    <cfRule type="expression" priority="49" dxfId="2" stopIfTrue="1">
      <formula>$D$23&gt;1</formula>
    </cfRule>
  </conditionalFormatting>
  <conditionalFormatting sqref="A25">
    <cfRule type="expression" priority="50" dxfId="2" stopIfTrue="1">
      <formula>$D$23&gt;0</formula>
    </cfRule>
  </conditionalFormatting>
  <conditionalFormatting sqref="B25">
    <cfRule type="expression" priority="51" dxfId="3" stopIfTrue="1">
      <formula>$D$23&gt;0</formula>
    </cfRule>
  </conditionalFormatting>
  <conditionalFormatting sqref="B26">
    <cfRule type="expression" priority="52" dxfId="3" stopIfTrue="1">
      <formula>$D$23&gt;1</formula>
    </cfRule>
  </conditionalFormatting>
  <conditionalFormatting sqref="B27">
    <cfRule type="expression" priority="53" dxfId="3" stopIfTrue="1">
      <formula>$D$23&gt;2</formula>
    </cfRule>
  </conditionalFormatting>
  <conditionalFormatting sqref="A27">
    <cfRule type="expression" priority="54" dxfId="2" stopIfTrue="1">
      <formula>$D$23&gt;2</formula>
    </cfRule>
  </conditionalFormatting>
  <conditionalFormatting sqref="A28">
    <cfRule type="expression" priority="55" dxfId="2" stopIfTrue="1">
      <formula>$D$23&gt;3</formula>
    </cfRule>
  </conditionalFormatting>
  <conditionalFormatting sqref="B28">
    <cfRule type="expression" priority="56" dxfId="3" stopIfTrue="1">
      <formula>$D$23&gt;3</formula>
    </cfRule>
  </conditionalFormatting>
  <conditionalFormatting sqref="A29">
    <cfRule type="expression" priority="57" dxfId="2" stopIfTrue="1">
      <formula>$D$23&gt;4</formula>
    </cfRule>
  </conditionalFormatting>
  <conditionalFormatting sqref="B29">
    <cfRule type="expression" priority="58" dxfId="3" stopIfTrue="1">
      <formula>$D$23&gt;4</formula>
    </cfRule>
  </conditionalFormatting>
  <conditionalFormatting sqref="L27">
    <cfRule type="expression" priority="59" dxfId="1" stopIfTrue="1">
      <formula>$D$23&gt;2</formula>
    </cfRule>
  </conditionalFormatting>
  <conditionalFormatting sqref="L28">
    <cfRule type="expression" priority="60" dxfId="1" stopIfTrue="1">
      <formula>$D$23&gt;3</formula>
    </cfRule>
  </conditionalFormatting>
  <conditionalFormatting sqref="L29">
    <cfRule type="expression" priority="61" dxfId="1" stopIfTrue="1">
      <formula>$D$23&gt;4</formula>
    </cfRule>
  </conditionalFormatting>
  <conditionalFormatting sqref="L30">
    <cfRule type="expression" priority="62" dxfId="1" stopIfTrue="1">
      <formula>$D$23&gt;5</formula>
    </cfRule>
  </conditionalFormatting>
  <conditionalFormatting sqref="L31">
    <cfRule type="expression" priority="63" dxfId="1" stopIfTrue="1">
      <formula>$D$23&gt;6</formula>
    </cfRule>
  </conditionalFormatting>
  <conditionalFormatting sqref="L26">
    <cfRule type="expression" priority="64" dxfId="1" stopIfTrue="1">
      <formula>$D$23&gt;1</formula>
    </cfRule>
  </conditionalFormatting>
  <printOptions/>
  <pageMargins left="0.1968503937007874" right="0" top="0.984251968503937" bottom="0.5905511811023623" header="0.5118110236220472" footer="0.5118110236220472"/>
  <pageSetup blackAndWhite="1" horizontalDpi="360" verticalDpi="360" orientation="portrait" paperSize="9" scale="9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4"/>
  <dimension ref="A1:BG124"/>
  <sheetViews>
    <sheetView workbookViewId="0" topLeftCell="A1">
      <selection activeCell="E8" sqref="E8:G8"/>
    </sheetView>
  </sheetViews>
  <sheetFormatPr defaultColWidth="9.33203125" defaultRowHeight="12.75"/>
  <cols>
    <col min="1" max="1" width="15.5" style="0" customWidth="1"/>
    <col min="2" max="10" width="4.83203125" style="0" customWidth="1"/>
    <col min="11" max="11" width="11.66015625" style="0" bestFit="1" customWidth="1"/>
    <col min="12" max="13" width="11.83203125" style="0" customWidth="1"/>
    <col min="14" max="14" width="4.83203125" style="0" customWidth="1"/>
    <col min="15" max="15" width="12.83203125" style="0" customWidth="1"/>
    <col min="16" max="16" width="9.16015625" style="0" customWidth="1"/>
    <col min="17" max="17" width="15.5" style="0" hidden="1" customWidth="1"/>
    <col min="18" max="26" width="4.83203125" style="0" hidden="1" customWidth="1"/>
    <col min="27" max="27" width="11.66015625" style="0" hidden="1" customWidth="1"/>
    <col min="28" max="29" width="11.83203125" style="0" hidden="1" customWidth="1"/>
    <col min="30" max="30" width="4.83203125" style="0" hidden="1" customWidth="1"/>
    <col min="31" max="31" width="12.83203125" style="0" hidden="1" customWidth="1"/>
    <col min="32" max="32" width="11" style="0" hidden="1" customWidth="1"/>
    <col min="33" max="33" width="5.16015625" style="0" hidden="1" customWidth="1"/>
    <col min="34" max="34" width="10.5" style="0" hidden="1" customWidth="1"/>
    <col min="35" max="35" width="15.16015625" style="0" hidden="1" customWidth="1"/>
    <col min="36" max="36" width="16.83203125" style="0" hidden="1" customWidth="1"/>
    <col min="37" max="37" width="6.66015625" style="0" hidden="1" customWidth="1"/>
    <col min="38" max="38" width="12.83203125" style="0" hidden="1" customWidth="1"/>
    <col min="39" max="39" width="11.5" style="0" hidden="1" customWidth="1"/>
    <col min="40" max="45" width="0" style="0" hidden="1" customWidth="1"/>
    <col min="46" max="46" width="3.66015625" style="0" customWidth="1"/>
    <col min="49" max="49" width="13.66015625" style="0" customWidth="1"/>
  </cols>
  <sheetData>
    <row r="1" spans="1:59" ht="16.5" thickTop="1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3"/>
      <c r="Q1" s="201" t="s">
        <v>0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3"/>
      <c r="AI1" s="185" t="s">
        <v>29</v>
      </c>
      <c r="AJ1" s="185"/>
      <c r="AK1" s="185"/>
      <c r="AL1" s="185"/>
      <c r="AM1" s="135" t="s">
        <v>68</v>
      </c>
      <c r="AT1" s="77"/>
      <c r="AU1" s="247" t="s">
        <v>84</v>
      </c>
      <c r="AV1" s="248"/>
      <c r="AW1" s="249"/>
      <c r="AX1" s="77"/>
      <c r="AY1" s="77"/>
      <c r="AZ1" s="77"/>
      <c r="BA1" s="77"/>
      <c r="BB1" s="77"/>
      <c r="BC1" s="77"/>
      <c r="BD1" s="77"/>
      <c r="BE1" s="77"/>
      <c r="BF1" s="77"/>
      <c r="BG1" s="77"/>
    </row>
    <row r="2" spans="1:59" ht="15.75">
      <c r="A2" s="350" t="str">
        <f>+Gen!A2</f>
        <v>TRIBUNALE DI TERMINI IMERESE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2"/>
      <c r="Q2" s="204" t="s">
        <v>1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6"/>
      <c r="AI2" s="5" t="s">
        <v>30</v>
      </c>
      <c r="AJ2" s="5" t="s">
        <v>31</v>
      </c>
      <c r="AK2" s="6" t="s">
        <v>18</v>
      </c>
      <c r="AL2" s="5" t="s">
        <v>37</v>
      </c>
      <c r="AN2" s="134"/>
      <c r="AT2" s="77"/>
      <c r="AU2" s="250"/>
      <c r="AV2" s="251"/>
      <c r="AW2" s="252"/>
      <c r="AX2" s="77"/>
      <c r="AY2" s="77"/>
      <c r="AZ2" s="77"/>
      <c r="BA2" s="77"/>
      <c r="BB2" s="77"/>
      <c r="BC2" s="77"/>
      <c r="BD2" s="77"/>
      <c r="BE2" s="77"/>
      <c r="BF2" s="77"/>
      <c r="BG2" s="77"/>
    </row>
    <row r="3" spans="1:59" ht="15.75">
      <c r="A3" s="207" t="s">
        <v>110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9"/>
      <c r="Q3" s="207" t="s">
        <v>85</v>
      </c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9"/>
      <c r="AI3" s="7">
        <v>1</v>
      </c>
      <c r="AJ3" s="7">
        <f>+Aliquote!C6</f>
        <v>15000</v>
      </c>
      <c r="AK3" s="8">
        <f>+Aliquote!D6</f>
        <v>0.23</v>
      </c>
      <c r="AL3" s="9"/>
      <c r="AT3" s="77"/>
      <c r="AU3" s="268"/>
      <c r="AV3" s="269"/>
      <c r="AW3" s="270"/>
      <c r="AX3" s="77"/>
      <c r="AY3" s="77"/>
      <c r="AZ3" s="77"/>
      <c r="BA3" s="77"/>
      <c r="BB3" s="77"/>
      <c r="BC3" s="77"/>
      <c r="BD3" s="77"/>
      <c r="BE3" s="77"/>
      <c r="BF3" s="77"/>
      <c r="BG3" s="77"/>
    </row>
    <row r="4" spans="1:59" ht="12.75" customHeight="1">
      <c r="A4" s="150" t="s">
        <v>138</v>
      </c>
      <c r="B4" s="163" t="str">
        <f>IF(Gen!B4&gt;0,Gen!B4,Vuota1)</f>
        <v>        </v>
      </c>
      <c r="C4" s="154"/>
      <c r="D4" s="154"/>
      <c r="E4" s="154"/>
      <c r="F4" s="154"/>
      <c r="G4" s="164"/>
      <c r="H4" s="58"/>
      <c r="I4" s="58"/>
      <c r="J4" s="345" t="s">
        <v>121</v>
      </c>
      <c r="K4" s="346"/>
      <c r="L4" s="149">
        <f>IF(Gen!L4&gt;0,Gen!L4,Vuota1)</f>
        <v>2007</v>
      </c>
      <c r="M4" s="20"/>
      <c r="N4" s="58"/>
      <c r="O4" s="58"/>
      <c r="P4" s="33"/>
      <c r="Q4" s="20"/>
      <c r="R4" s="58"/>
      <c r="S4" s="58"/>
      <c r="T4" s="58"/>
      <c r="U4" s="58"/>
      <c r="V4" s="58"/>
      <c r="W4" s="58"/>
      <c r="X4" s="58"/>
      <c r="Y4" s="58"/>
      <c r="Z4" s="213" t="s">
        <v>2</v>
      </c>
      <c r="AA4" s="213"/>
      <c r="AB4" s="2">
        <v>2007</v>
      </c>
      <c r="AC4" s="20"/>
      <c r="AD4" s="58"/>
      <c r="AE4" s="58"/>
      <c r="AF4" s="33"/>
      <c r="AI4" s="7">
        <f>+AJ3+0.01</f>
        <v>15000.01</v>
      </c>
      <c r="AJ4" s="7">
        <f>+Aliquote!C7</f>
        <v>28000</v>
      </c>
      <c r="AK4" s="8">
        <f>+Aliquote!D7</f>
        <v>0.27</v>
      </c>
      <c r="AL4" s="7">
        <f>ROUND(AI4*AK3,2)</f>
        <v>3450</v>
      </c>
      <c r="AT4" s="77"/>
      <c r="AU4" s="262" t="s">
        <v>81</v>
      </c>
      <c r="AV4" s="263"/>
      <c r="AW4" s="264"/>
      <c r="AX4" s="77"/>
      <c r="AY4" s="77"/>
      <c r="AZ4" s="77"/>
      <c r="BA4" s="77"/>
      <c r="BB4" s="77"/>
      <c r="BC4" s="77"/>
      <c r="BD4" s="77"/>
      <c r="BE4" s="77"/>
      <c r="BF4" s="77"/>
      <c r="BG4" s="77"/>
    </row>
    <row r="5" spans="1:59" ht="16.5" thickBot="1">
      <c r="A5" s="59" t="s">
        <v>3</v>
      </c>
      <c r="B5" s="60"/>
      <c r="C5" s="52" t="str">
        <f>IF(Gen!C5&gt;0,Gen!C5,Vuota1)</f>
        <v>C1</v>
      </c>
      <c r="D5" s="347" t="str">
        <f>IF(Gen!D5&gt;0,Gen!D5,Vuota1)</f>
        <v>        </v>
      </c>
      <c r="E5" s="348" t="e">
        <f>IF(#REF!&gt;0,#REF!,Vuota1)</f>
        <v>#REF!</v>
      </c>
      <c r="F5" s="348" t="e">
        <f>IF(#REF!&gt;0,#REF!,Vuota1)</f>
        <v>#REF!</v>
      </c>
      <c r="G5" s="348" t="e">
        <f>IF(#REF!&gt;0,#REF!,Vuota1)</f>
        <v>#REF!</v>
      </c>
      <c r="H5" s="348" t="e">
        <f>IF(#REF!&gt;0,#REF!,Vuota1)</f>
        <v>#REF!</v>
      </c>
      <c r="I5" s="348" t="e">
        <f>IF(#REF!&gt;0,#REF!,Vuota1)</f>
        <v>#REF!</v>
      </c>
      <c r="J5" s="348" t="str">
        <f>IF(Gen!J5&gt;0,Gen!J5,Vuota1)</f>
        <v>        </v>
      </c>
      <c r="K5" s="348" t="e">
        <f>IF(#REF!&gt;0,#REF!,Vuota1)</f>
        <v>#REF!</v>
      </c>
      <c r="L5" s="349" t="e">
        <f>IF(#REF!&gt;0,#REF!,Vuota1)</f>
        <v>#REF!</v>
      </c>
      <c r="M5" s="61" t="s">
        <v>5</v>
      </c>
      <c r="N5" s="163" t="str">
        <f>IF(Gen!N5&gt;0,Gen!N5,Vuota1)</f>
        <v>        </v>
      </c>
      <c r="O5" s="154" t="e">
        <f>IF(#REF!&gt;0,#REF!,Vuota1)</f>
        <v>#REF!</v>
      </c>
      <c r="P5" s="164" t="e">
        <f>IF(#REF!&gt;0,#REF!,Vuota1)</f>
        <v>#REF!</v>
      </c>
      <c r="Q5" s="59" t="s">
        <v>3</v>
      </c>
      <c r="R5" s="60"/>
      <c r="S5" s="2" t="s">
        <v>4</v>
      </c>
      <c r="T5" s="211"/>
      <c r="U5" s="211"/>
      <c r="V5" s="211"/>
      <c r="W5" s="211"/>
      <c r="X5" s="211"/>
      <c r="Y5" s="211"/>
      <c r="Z5" s="211"/>
      <c r="AA5" s="211"/>
      <c r="AB5" s="313"/>
      <c r="AC5" s="61" t="s">
        <v>5</v>
      </c>
      <c r="AD5" s="214"/>
      <c r="AE5" s="215"/>
      <c r="AF5" s="216"/>
      <c r="AH5" s="21"/>
      <c r="AI5" s="7">
        <f>+AJ4+0.01</f>
        <v>28000.01</v>
      </c>
      <c r="AJ5" s="7">
        <f>+Aliquote!C8</f>
        <v>55000</v>
      </c>
      <c r="AK5" s="8">
        <f>+Aliquote!D8</f>
        <v>0.38</v>
      </c>
      <c r="AL5" s="7">
        <f>ROUND((AI5-AI4)*AK4,2)+AL4</f>
        <v>6960</v>
      </c>
      <c r="AT5" s="77"/>
      <c r="AU5" s="265" t="s">
        <v>82</v>
      </c>
      <c r="AV5" s="266"/>
      <c r="AW5" s="267"/>
      <c r="AX5" s="77"/>
      <c r="AY5" s="77"/>
      <c r="AZ5" s="77"/>
      <c r="BA5" s="77"/>
      <c r="BB5" s="77"/>
      <c r="BC5" s="77"/>
      <c r="BD5" s="77"/>
      <c r="BE5" s="77"/>
      <c r="BF5" s="77"/>
      <c r="BG5" s="77"/>
    </row>
    <row r="6" spans="1:59" ht="12.75" customHeight="1" thickTop="1">
      <c r="A6" s="271" t="s">
        <v>6</v>
      </c>
      <c r="B6" s="272"/>
      <c r="C6" s="163" t="str">
        <f>IF(Gen!C6&gt;0,Gen!C6,Vuota1)</f>
        <v>        </v>
      </c>
      <c r="D6" s="213" t="e">
        <f>IF(#REF!&gt;0,#REF!,Vuota1)</f>
        <v>#REF!</v>
      </c>
      <c r="E6" s="213" t="e">
        <f>IF(#REF!&gt;0,#REF!,Vuota1)</f>
        <v>#REF!</v>
      </c>
      <c r="F6" s="213" t="e">
        <f>IF(#REF!&gt;0,#REF!,Vuota1)</f>
        <v>#REF!</v>
      </c>
      <c r="G6" s="359" t="e">
        <f>IF(#REF!&gt;0,#REF!,Vuota1)</f>
        <v>#REF!</v>
      </c>
      <c r="H6" s="60" t="s">
        <v>7</v>
      </c>
      <c r="I6" s="353" t="str">
        <f>IF(Gen!I6&gt;0,Gen!I6,Vuota1)</f>
        <v>        </v>
      </c>
      <c r="J6" s="354" t="e">
        <f>IF(#REF!&gt;0,#REF!,Vuota1)</f>
        <v>#REF!</v>
      </c>
      <c r="K6" s="355" t="e">
        <f>IF(#REF!&gt;0,#REF!,Vuota1)</f>
        <v>#REF!</v>
      </c>
      <c r="L6" s="48" t="s">
        <v>90</v>
      </c>
      <c r="M6" s="356" t="str">
        <f>IF(Gen!M6&gt;0,Gen!M6,Vuota1)</f>
        <v>        </v>
      </c>
      <c r="N6" s="357" t="e">
        <f>IF(#REF!&gt;0,#REF!,Vuota1)</f>
        <v>#REF!</v>
      </c>
      <c r="O6" s="357" t="e">
        <f>IF(#REF!&gt;0,#REF!,Vuota1)</f>
        <v>#REF!</v>
      </c>
      <c r="P6" s="358" t="e">
        <f>IF(#REF!&gt;0,#REF!,Vuota1)</f>
        <v>#REF!</v>
      </c>
      <c r="Q6" s="317"/>
      <c r="R6" s="318"/>
      <c r="S6" s="318"/>
      <c r="T6" s="302" t="s">
        <v>6</v>
      </c>
      <c r="U6" s="302"/>
      <c r="V6" s="214"/>
      <c r="W6" s="215"/>
      <c r="X6" s="215"/>
      <c r="Y6" s="215"/>
      <c r="Z6" s="216"/>
      <c r="AA6" s="60" t="s">
        <v>7</v>
      </c>
      <c r="AB6" s="300"/>
      <c r="AC6" s="301"/>
      <c r="AD6" s="20"/>
      <c r="AE6" s="20"/>
      <c r="AF6" s="62"/>
      <c r="AH6" s="21"/>
      <c r="AI6" s="7">
        <f>+AJ5+0.01</f>
        <v>55000.01</v>
      </c>
      <c r="AJ6" s="7">
        <f>+Aliquote!C9</f>
        <v>75000</v>
      </c>
      <c r="AK6" s="8">
        <f>+Aliquote!D9</f>
        <v>0.41</v>
      </c>
      <c r="AL6" s="7">
        <f>ROUND((AI6-AI5)*AK5,2)+AL5</f>
        <v>17220</v>
      </c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</row>
    <row r="7" spans="1:59" ht="12.75" customHeight="1">
      <c r="A7" s="239" t="s">
        <v>8</v>
      </c>
      <c r="B7" s="240"/>
      <c r="C7" s="240"/>
      <c r="D7" s="240"/>
      <c r="E7" s="240"/>
      <c r="F7" s="240"/>
      <c r="G7" s="240"/>
      <c r="H7" s="158" t="s">
        <v>9</v>
      </c>
      <c r="I7" s="158"/>
      <c r="J7" s="158"/>
      <c r="K7" s="158"/>
      <c r="L7" s="158"/>
      <c r="M7" s="20"/>
      <c r="N7" s="20"/>
      <c r="O7" s="20"/>
      <c r="P7" s="62"/>
      <c r="Q7" s="239" t="s">
        <v>8</v>
      </c>
      <c r="R7" s="240"/>
      <c r="S7" s="240"/>
      <c r="T7" s="240"/>
      <c r="U7" s="240"/>
      <c r="V7" s="240"/>
      <c r="W7" s="240"/>
      <c r="X7" s="158" t="s">
        <v>9</v>
      </c>
      <c r="Y7" s="158"/>
      <c r="Z7" s="158"/>
      <c r="AA7" s="158"/>
      <c r="AB7" s="158"/>
      <c r="AC7" s="20"/>
      <c r="AD7" s="20"/>
      <c r="AE7" s="20"/>
      <c r="AF7" s="62"/>
      <c r="AH7" s="21"/>
      <c r="AI7" s="7">
        <f>+AJ6+0.01</f>
        <v>75000.01</v>
      </c>
      <c r="AJ7" s="7">
        <v>1000000</v>
      </c>
      <c r="AK7" s="8">
        <f>+Aliquote!D10</f>
        <v>0.43</v>
      </c>
      <c r="AL7" s="7">
        <f>ROUND((AI7-AI6)*AK6,2)+AL6</f>
        <v>25420</v>
      </c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</row>
    <row r="8" spans="1:59" ht="12.75">
      <c r="A8" s="27" t="s">
        <v>78</v>
      </c>
      <c r="B8" s="29"/>
      <c r="C8" s="29"/>
      <c r="D8" s="23"/>
      <c r="E8" s="195"/>
      <c r="F8" s="196"/>
      <c r="G8" s="197"/>
      <c r="H8" s="273" t="s">
        <v>10</v>
      </c>
      <c r="I8" s="274"/>
      <c r="J8" s="274"/>
      <c r="K8" s="275"/>
      <c r="L8" s="1"/>
      <c r="M8" s="20"/>
      <c r="N8" s="20"/>
      <c r="O8" s="20"/>
      <c r="P8" s="62"/>
      <c r="Q8" s="27" t="s">
        <v>78</v>
      </c>
      <c r="R8" s="29"/>
      <c r="S8" s="29"/>
      <c r="T8" s="23"/>
      <c r="U8" s="195">
        <f aca="true" t="shared" si="0" ref="U8:U15">ROUND(E8*13,5)</f>
        <v>0</v>
      </c>
      <c r="V8" s="196"/>
      <c r="W8" s="197"/>
      <c r="X8" s="273" t="s">
        <v>10</v>
      </c>
      <c r="Y8" s="274"/>
      <c r="Z8" s="274"/>
      <c r="AA8" s="275"/>
      <c r="AB8" s="1">
        <f aca="true" t="shared" si="1" ref="AB8:AB17">ROUND(L8*13,5)</f>
        <v>0</v>
      </c>
      <c r="AC8" s="20"/>
      <c r="AD8" s="20"/>
      <c r="AE8" s="20"/>
      <c r="AF8" s="62"/>
      <c r="AH8" s="21"/>
      <c r="AI8" s="7">
        <f>+AJ7+0.01</f>
        <v>1000000.01</v>
      </c>
      <c r="AJ8" s="10">
        <v>2000000</v>
      </c>
      <c r="AK8" s="11">
        <f>+AK7</f>
        <v>0.43</v>
      </c>
      <c r="AL8" s="10">
        <f>ROUND((AI8-AI7)*AK7,2)+AL7</f>
        <v>423170</v>
      </c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</row>
    <row r="9" spans="1:59" ht="12.75">
      <c r="A9" s="27" t="s">
        <v>11</v>
      </c>
      <c r="B9" s="29"/>
      <c r="C9" s="29"/>
      <c r="D9" s="23"/>
      <c r="E9" s="195"/>
      <c r="F9" s="196"/>
      <c r="G9" s="197"/>
      <c r="H9" s="198" t="s">
        <v>111</v>
      </c>
      <c r="I9" s="199"/>
      <c r="J9" s="199"/>
      <c r="K9" s="200"/>
      <c r="L9" s="1"/>
      <c r="M9" s="20"/>
      <c r="N9" s="20"/>
      <c r="O9" s="20"/>
      <c r="P9" s="62"/>
      <c r="Q9" s="27" t="s">
        <v>11</v>
      </c>
      <c r="R9" s="29"/>
      <c r="S9" s="29"/>
      <c r="T9" s="23"/>
      <c r="U9" s="195">
        <f t="shared" si="0"/>
        <v>0</v>
      </c>
      <c r="V9" s="196"/>
      <c r="W9" s="197"/>
      <c r="X9" s="198" t="s">
        <v>111</v>
      </c>
      <c r="Y9" s="199"/>
      <c r="Z9" s="199"/>
      <c r="AA9" s="200"/>
      <c r="AB9" s="1">
        <f t="shared" si="1"/>
        <v>0</v>
      </c>
      <c r="AC9" s="20"/>
      <c r="AD9" s="20"/>
      <c r="AE9" s="25" t="s">
        <v>117</v>
      </c>
      <c r="AF9" s="62"/>
      <c r="AH9" s="22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</row>
    <row r="10" spans="1:59" ht="12.75">
      <c r="A10" s="27" t="s">
        <v>12</v>
      </c>
      <c r="B10" s="29"/>
      <c r="C10" s="29"/>
      <c r="D10" s="23"/>
      <c r="E10" s="195"/>
      <c r="F10" s="196"/>
      <c r="G10" s="197"/>
      <c r="H10" s="198" t="s">
        <v>112</v>
      </c>
      <c r="I10" s="199"/>
      <c r="J10" s="199"/>
      <c r="K10" s="200"/>
      <c r="L10" s="1"/>
      <c r="M10" s="20"/>
      <c r="N10" s="20"/>
      <c r="O10" s="20"/>
      <c r="P10" s="62"/>
      <c r="Q10" s="27" t="s">
        <v>12</v>
      </c>
      <c r="R10" s="29"/>
      <c r="S10" s="29"/>
      <c r="T10" s="23"/>
      <c r="U10" s="195">
        <f t="shared" si="0"/>
        <v>0</v>
      </c>
      <c r="V10" s="196"/>
      <c r="W10" s="197"/>
      <c r="X10" s="198" t="s">
        <v>112</v>
      </c>
      <c r="Y10" s="199"/>
      <c r="Z10" s="199"/>
      <c r="AA10" s="200"/>
      <c r="AB10" s="1">
        <f t="shared" si="1"/>
        <v>0</v>
      </c>
      <c r="AC10" s="20"/>
      <c r="AD10" s="20"/>
      <c r="AE10" s="145">
        <f>+Lordo-U12</f>
        <v>0</v>
      </c>
      <c r="AF10" s="62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</row>
    <row r="11" spans="1:59" ht="12.75">
      <c r="A11" s="27" t="s">
        <v>14</v>
      </c>
      <c r="B11" s="29"/>
      <c r="C11" s="29"/>
      <c r="D11" s="29"/>
      <c r="E11" s="195"/>
      <c r="F11" s="196"/>
      <c r="G11" s="197"/>
      <c r="H11" s="198" t="s">
        <v>113</v>
      </c>
      <c r="I11" s="199"/>
      <c r="J11" s="199"/>
      <c r="K11" s="200"/>
      <c r="L11" s="143">
        <f>ROUND((E10+E11)*(Aliquote!H9),2)</f>
        <v>0</v>
      </c>
      <c r="M11" s="20"/>
      <c r="N11" s="20"/>
      <c r="O11" s="20"/>
      <c r="P11" s="62"/>
      <c r="Q11" s="27" t="s">
        <v>14</v>
      </c>
      <c r="R11" s="29"/>
      <c r="S11" s="29"/>
      <c r="T11" s="29"/>
      <c r="U11" s="195">
        <f t="shared" si="0"/>
        <v>0</v>
      </c>
      <c r="V11" s="196"/>
      <c r="W11" s="197"/>
      <c r="X11" s="198" t="s">
        <v>113</v>
      </c>
      <c r="Y11" s="199"/>
      <c r="Z11" s="199"/>
      <c r="AA11" s="200"/>
      <c r="AB11" s="143">
        <f t="shared" si="1"/>
        <v>0</v>
      </c>
      <c r="AC11" s="20"/>
      <c r="AD11" s="20"/>
      <c r="AE11" s="20"/>
      <c r="AF11" s="62"/>
      <c r="AH11" s="85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</row>
    <row r="12" spans="1:59" ht="12.75">
      <c r="A12" s="27"/>
      <c r="B12" s="29"/>
      <c r="C12" s="29"/>
      <c r="D12" s="23"/>
      <c r="E12" s="404"/>
      <c r="F12" s="405"/>
      <c r="G12" s="406"/>
      <c r="H12" s="198" t="s">
        <v>114</v>
      </c>
      <c r="I12" s="199"/>
      <c r="J12" s="199"/>
      <c r="K12" s="200"/>
      <c r="L12" s="144">
        <f>ROUND((E10+E11)*(Aliquote!I9),2)</f>
        <v>0</v>
      </c>
      <c r="M12" s="20"/>
      <c r="N12" s="20"/>
      <c r="O12" s="20"/>
      <c r="P12" s="62"/>
      <c r="Q12" s="27" t="s">
        <v>16</v>
      </c>
      <c r="R12" s="29"/>
      <c r="S12" s="29"/>
      <c r="T12" s="23"/>
      <c r="U12" s="195">
        <f t="shared" si="0"/>
        <v>0</v>
      </c>
      <c r="V12" s="196"/>
      <c r="W12" s="197"/>
      <c r="X12" s="198" t="s">
        <v>114</v>
      </c>
      <c r="Y12" s="199"/>
      <c r="Z12" s="199"/>
      <c r="AA12" s="200"/>
      <c r="AB12" s="143">
        <f t="shared" si="1"/>
        <v>0</v>
      </c>
      <c r="AC12" s="91"/>
      <c r="AD12" s="20"/>
      <c r="AE12" s="20"/>
      <c r="AF12" s="62"/>
      <c r="AH12" s="85"/>
      <c r="AI12" s="186" t="s">
        <v>32</v>
      </c>
      <c r="AJ12" s="186"/>
      <c r="AK12" s="186"/>
      <c r="AL12" s="186"/>
      <c r="AM12" s="186"/>
      <c r="AN12" t="s">
        <v>44</v>
      </c>
      <c r="AO12" t="s">
        <v>43</v>
      </c>
      <c r="AT12" s="77"/>
      <c r="AU12" s="78"/>
      <c r="AV12" s="78"/>
      <c r="AW12" s="78"/>
      <c r="AX12" s="77"/>
      <c r="AY12" s="77"/>
      <c r="AZ12" s="77"/>
      <c r="BA12" s="77"/>
      <c r="BB12" s="77"/>
      <c r="BC12" s="77"/>
      <c r="BD12" s="77"/>
      <c r="BE12" s="77"/>
      <c r="BF12" s="77"/>
      <c r="BG12" s="77"/>
    </row>
    <row r="13" spans="1:59" ht="12.75">
      <c r="A13" s="27" t="s">
        <v>17</v>
      </c>
      <c r="B13" s="29"/>
      <c r="C13" s="29"/>
      <c r="D13" s="23"/>
      <c r="E13" s="195"/>
      <c r="F13" s="196"/>
      <c r="G13" s="197"/>
      <c r="H13" s="198"/>
      <c r="I13" s="199"/>
      <c r="J13" s="199"/>
      <c r="K13" s="200"/>
      <c r="L13" s="143"/>
      <c r="M13" s="20"/>
      <c r="N13" s="20"/>
      <c r="O13" s="20"/>
      <c r="P13" s="62"/>
      <c r="Q13" s="27" t="s">
        <v>17</v>
      </c>
      <c r="R13" s="29"/>
      <c r="S13" s="29"/>
      <c r="T13" s="23"/>
      <c r="U13" s="195">
        <f t="shared" si="0"/>
        <v>0</v>
      </c>
      <c r="V13" s="196"/>
      <c r="W13" s="197"/>
      <c r="X13" s="198" t="s">
        <v>115</v>
      </c>
      <c r="Y13" s="199"/>
      <c r="Z13" s="199"/>
      <c r="AA13" s="200"/>
      <c r="AB13" s="143">
        <f t="shared" si="1"/>
        <v>0</v>
      </c>
      <c r="AC13" s="20"/>
      <c r="AD13" s="20"/>
      <c r="AE13" s="91"/>
      <c r="AF13" s="62"/>
      <c r="AH13" s="85"/>
      <c r="AI13" s="4" t="s">
        <v>33</v>
      </c>
      <c r="AJ13" s="107">
        <v>80000</v>
      </c>
      <c r="AK13" s="4"/>
      <c r="AL13" s="107">
        <v>800</v>
      </c>
      <c r="AM13" s="107">
        <v>690</v>
      </c>
      <c r="AN13" s="87">
        <v>110</v>
      </c>
      <c r="AO13" s="87">
        <f>ROUND(Redd_Detraz/AJ19,4)</f>
        <v>0</v>
      </c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</row>
    <row r="14" spans="1:59" ht="12.75">
      <c r="A14" s="192" t="s">
        <v>108</v>
      </c>
      <c r="B14" s="193"/>
      <c r="C14" s="193"/>
      <c r="D14" s="194"/>
      <c r="E14" s="195"/>
      <c r="F14" s="196"/>
      <c r="G14" s="197"/>
      <c r="H14" s="198" t="s">
        <v>116</v>
      </c>
      <c r="I14" s="199"/>
      <c r="J14" s="199"/>
      <c r="K14" s="200"/>
      <c r="L14" s="143">
        <f>ROUND(E13*80%*(Aliquote!$G$9)+E13*(Aliquote!$H$9+Aliquote!$I$9),5)</f>
        <v>0</v>
      </c>
      <c r="M14" s="20"/>
      <c r="N14" s="20"/>
      <c r="O14" s="20"/>
      <c r="P14" s="62"/>
      <c r="Q14" s="26" t="s">
        <v>13</v>
      </c>
      <c r="R14" s="30"/>
      <c r="S14" s="30"/>
      <c r="T14" s="24"/>
      <c r="U14" s="195">
        <f t="shared" si="0"/>
        <v>0</v>
      </c>
      <c r="V14" s="196"/>
      <c r="W14" s="197"/>
      <c r="X14" s="198" t="s">
        <v>116</v>
      </c>
      <c r="Y14" s="199"/>
      <c r="Z14" s="199"/>
      <c r="AA14" s="200"/>
      <c r="AB14" s="143">
        <f t="shared" si="1"/>
        <v>0</v>
      </c>
      <c r="AC14" s="20"/>
      <c r="AD14" s="20"/>
      <c r="AE14" s="20"/>
      <c r="AF14" s="62"/>
      <c r="AH14" s="85"/>
      <c r="AI14" s="4" t="s">
        <v>34</v>
      </c>
      <c r="AJ14" s="107">
        <v>95000</v>
      </c>
      <c r="AK14" s="4"/>
      <c r="AL14" s="107">
        <v>800</v>
      </c>
      <c r="AO14" s="77">
        <f>ROUND((Coniuge-Redd_Detraz)/AJ38,4)</f>
        <v>2</v>
      </c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</row>
    <row r="15" spans="1:59" ht="12.75">
      <c r="A15" s="192" t="s">
        <v>109</v>
      </c>
      <c r="B15" s="193"/>
      <c r="C15" s="193"/>
      <c r="D15" s="194"/>
      <c r="E15" s="195"/>
      <c r="F15" s="196"/>
      <c r="G15" s="197"/>
      <c r="H15" s="192" t="s">
        <v>149</v>
      </c>
      <c r="I15" s="193"/>
      <c r="J15" s="193"/>
      <c r="K15" s="194"/>
      <c r="L15" s="143">
        <f>ROUND(E14*80%*(Aliquote!$G$9)+E14*(Aliquote!$H$9+Aliquote!$I$9),5)</f>
        <v>0</v>
      </c>
      <c r="M15" s="20"/>
      <c r="N15" s="20"/>
      <c r="O15" s="20"/>
      <c r="P15" s="62"/>
      <c r="Q15" s="26" t="s">
        <v>13</v>
      </c>
      <c r="R15" s="30"/>
      <c r="S15" s="30"/>
      <c r="T15" s="24"/>
      <c r="U15" s="195">
        <f t="shared" si="0"/>
        <v>0</v>
      </c>
      <c r="V15" s="196"/>
      <c r="W15" s="197"/>
      <c r="X15" s="192" t="s">
        <v>13</v>
      </c>
      <c r="Y15" s="193"/>
      <c r="Z15" s="193"/>
      <c r="AA15" s="194"/>
      <c r="AB15" s="143">
        <f t="shared" si="1"/>
        <v>0</v>
      </c>
      <c r="AC15" s="20"/>
      <c r="AD15" s="20"/>
      <c r="AE15" s="25" t="s">
        <v>93</v>
      </c>
      <c r="AF15" s="62"/>
      <c r="AH15" s="85"/>
      <c r="AI15" s="4" t="s">
        <v>35</v>
      </c>
      <c r="AJ15" s="107">
        <v>55000</v>
      </c>
      <c r="AK15" s="4"/>
      <c r="AL15" s="107">
        <v>1338</v>
      </c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</row>
    <row r="16" spans="1:59" ht="12.75">
      <c r="A16" s="192" t="s">
        <v>148</v>
      </c>
      <c r="B16" s="193"/>
      <c r="C16" s="193"/>
      <c r="D16" s="194"/>
      <c r="E16" s="195"/>
      <c r="F16" s="196"/>
      <c r="G16" s="197"/>
      <c r="H16" s="192" t="s">
        <v>150</v>
      </c>
      <c r="I16" s="193"/>
      <c r="J16" s="193"/>
      <c r="K16" s="194"/>
      <c r="L16" s="144">
        <f>ROUND(E15*(Aliquote!$H$9+Aliquote!$I$9),5)</f>
        <v>0</v>
      </c>
      <c r="M16" s="20"/>
      <c r="N16" s="20"/>
      <c r="O16" s="20"/>
      <c r="P16" s="62"/>
      <c r="Q16" s="192" t="s">
        <v>57</v>
      </c>
      <c r="R16" s="193"/>
      <c r="S16" s="193"/>
      <c r="T16" s="194"/>
      <c r="U16" s="195"/>
      <c r="V16" s="196"/>
      <c r="W16" s="197"/>
      <c r="X16" s="192" t="s">
        <v>13</v>
      </c>
      <c r="Y16" s="193"/>
      <c r="Z16" s="193"/>
      <c r="AA16" s="194"/>
      <c r="AB16" s="143">
        <f t="shared" si="1"/>
        <v>0</v>
      </c>
      <c r="AC16" s="298"/>
      <c r="AD16" s="299"/>
      <c r="AE16" s="146">
        <f>IF(O46&gt;E12,ROUND((O46-E12)*12,2),0)</f>
        <v>0</v>
      </c>
      <c r="AF16" s="62"/>
      <c r="AH16" s="85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</row>
    <row r="17" spans="1:59" ht="12.75">
      <c r="A17" s="163" t="s">
        <v>15</v>
      </c>
      <c r="B17" s="154"/>
      <c r="C17" s="154"/>
      <c r="D17" s="164"/>
      <c r="E17" s="175">
        <f>SUM(E8:G16)</f>
        <v>0</v>
      </c>
      <c r="F17" s="219"/>
      <c r="G17" s="176"/>
      <c r="H17" s="192" t="s">
        <v>148</v>
      </c>
      <c r="I17" s="193"/>
      <c r="J17" s="193"/>
      <c r="K17" s="194"/>
      <c r="L17" s="189"/>
      <c r="M17" s="20"/>
      <c r="N17" s="20"/>
      <c r="O17" s="20"/>
      <c r="P17" s="62"/>
      <c r="Q17" s="31" t="s">
        <v>15</v>
      </c>
      <c r="R17" s="28"/>
      <c r="S17" s="28"/>
      <c r="T17" s="32"/>
      <c r="U17" s="175">
        <f>SUM(U8:W16)</f>
        <v>0</v>
      </c>
      <c r="V17" s="219"/>
      <c r="W17" s="176"/>
      <c r="X17" s="192" t="s">
        <v>57</v>
      </c>
      <c r="Y17" s="193"/>
      <c r="Z17" s="193"/>
      <c r="AA17" s="194"/>
      <c r="AB17" s="143">
        <f t="shared" si="1"/>
        <v>0</v>
      </c>
      <c r="AC17" s="160"/>
      <c r="AD17" s="160"/>
      <c r="AE17" s="147"/>
      <c r="AF17" s="62"/>
      <c r="AH17" s="85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</row>
    <row r="18" spans="1:59" ht="13.5" thickBot="1">
      <c r="A18" s="57"/>
      <c r="B18" s="20"/>
      <c r="C18" s="20"/>
      <c r="D18" s="20"/>
      <c r="E18" s="20"/>
      <c r="F18" s="20"/>
      <c r="G18" s="20"/>
      <c r="H18" s="163" t="s">
        <v>15</v>
      </c>
      <c r="I18" s="154"/>
      <c r="J18" s="154"/>
      <c r="K18" s="164"/>
      <c r="L18" s="3">
        <f>SUM(L8:L17)</f>
        <v>0</v>
      </c>
      <c r="M18" s="20"/>
      <c r="N18" s="20"/>
      <c r="O18" s="20"/>
      <c r="P18" s="62"/>
      <c r="Q18" s="57"/>
      <c r="R18" s="20"/>
      <c r="S18" s="20"/>
      <c r="T18" s="20"/>
      <c r="U18" s="20"/>
      <c r="V18" s="20"/>
      <c r="W18" s="20"/>
      <c r="X18" s="31" t="s">
        <v>15</v>
      </c>
      <c r="Y18" s="28"/>
      <c r="Z18" s="28"/>
      <c r="AA18" s="32"/>
      <c r="AB18" s="3">
        <f>SUM(AB8:AB17)</f>
        <v>0</v>
      </c>
      <c r="AC18" s="136"/>
      <c r="AD18" s="136" t="s">
        <v>139</v>
      </c>
      <c r="AE18" s="147"/>
      <c r="AF18" s="151">
        <f>ROUND(E12*12,5)</f>
        <v>0</v>
      </c>
      <c r="AH18" s="85"/>
      <c r="AI18" s="4" t="s">
        <v>38</v>
      </c>
      <c r="AJ18" s="110" t="s">
        <v>39</v>
      </c>
      <c r="AK18" s="77"/>
      <c r="AL18" s="111" t="s">
        <v>45</v>
      </c>
      <c r="AM18" s="111" t="s">
        <v>40</v>
      </c>
      <c r="AO18">
        <f>IF(AP18&gt;0,1,0)</f>
        <v>0</v>
      </c>
      <c r="AP18" s="87"/>
      <c r="AQ18" s="87">
        <v>700</v>
      </c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</row>
    <row r="19" spans="1:59" ht="13.5" customHeight="1" hidden="1" thickBot="1">
      <c r="A19" s="79"/>
      <c r="B19" s="25"/>
      <c r="C19" s="25"/>
      <c r="D19" s="25"/>
      <c r="E19" s="25"/>
      <c r="F19" s="25"/>
      <c r="G19" s="25"/>
      <c r="H19" s="20"/>
      <c r="I19" s="20"/>
      <c r="J19" s="20"/>
      <c r="K19" s="20"/>
      <c r="L19" s="20"/>
      <c r="M19" s="20"/>
      <c r="N19" s="20"/>
      <c r="O19" s="20"/>
      <c r="P19" s="62"/>
      <c r="Q19" s="79"/>
      <c r="R19" s="25"/>
      <c r="S19" s="25"/>
      <c r="T19" s="25"/>
      <c r="U19" s="25"/>
      <c r="V19" s="25"/>
      <c r="W19" s="25"/>
      <c r="X19" s="20"/>
      <c r="Y19" s="20"/>
      <c r="Z19" s="20"/>
      <c r="AA19" s="20"/>
      <c r="AB19" s="20"/>
      <c r="AC19" s="136"/>
      <c r="AD19" s="20"/>
      <c r="AE19" s="148"/>
      <c r="AF19" s="62"/>
      <c r="AI19" s="315" t="s">
        <v>33</v>
      </c>
      <c r="AJ19" s="316">
        <v>15000</v>
      </c>
      <c r="AK19" s="77"/>
      <c r="AL19" s="118">
        <v>0</v>
      </c>
      <c r="AM19" s="127">
        <v>0</v>
      </c>
      <c r="AO19">
        <f>IF(AP19&gt;0,1,0)</f>
        <v>0</v>
      </c>
      <c r="AP19" s="87"/>
      <c r="AQ19" s="87">
        <v>500</v>
      </c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</row>
    <row r="20" spans="1:59" ht="15.75">
      <c r="A20" s="241" t="s">
        <v>66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3"/>
      <c r="Q20" s="241" t="s">
        <v>66</v>
      </c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3"/>
      <c r="AI20" s="315"/>
      <c r="AJ20" s="316"/>
      <c r="AK20" s="77"/>
      <c r="AL20" s="128"/>
      <c r="AM20" s="129"/>
      <c r="AP20" s="87"/>
      <c r="AQ20" s="8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</row>
    <row r="21" spans="1:59" ht="12.75">
      <c r="A21" s="289" t="s">
        <v>33</v>
      </c>
      <c r="B21" s="289"/>
      <c r="C21" s="289"/>
      <c r="D21" s="2"/>
      <c r="E21" s="25"/>
      <c r="F21" s="63"/>
      <c r="G21" s="63"/>
      <c r="H21" s="63"/>
      <c r="I21" s="45"/>
      <c r="J21" s="20"/>
      <c r="K21" s="20"/>
      <c r="L21" s="20"/>
      <c r="M21" s="20"/>
      <c r="N21" s="20"/>
      <c r="O21" s="20"/>
      <c r="P21" s="62"/>
      <c r="Q21" s="289" t="s">
        <v>33</v>
      </c>
      <c r="R21" s="289"/>
      <c r="S21" s="289"/>
      <c r="T21" s="2">
        <f>+D21</f>
        <v>0</v>
      </c>
      <c r="U21" s="25"/>
      <c r="V21" s="63" t="str">
        <f>IF(CNG="Si","Mesi a carico",Vuota1)</f>
        <v>        </v>
      </c>
      <c r="W21" s="63"/>
      <c r="X21" s="63"/>
      <c r="Y21" s="45">
        <v>12</v>
      </c>
      <c r="Z21" s="20"/>
      <c r="AA21" s="20"/>
      <c r="AB21" s="20"/>
      <c r="AC21" s="20"/>
      <c r="AD21" s="20"/>
      <c r="AE21" s="20"/>
      <c r="AF21" s="62"/>
      <c r="AI21" s="315"/>
      <c r="AJ21" s="316"/>
      <c r="AK21" s="77"/>
      <c r="AL21" s="128"/>
      <c r="AM21" s="129"/>
      <c r="AP21" s="87"/>
      <c r="AQ21" s="87"/>
      <c r="AT21" s="77"/>
      <c r="AU21" s="303" t="s">
        <v>83</v>
      </c>
      <c r="AV21" s="304"/>
      <c r="AW21" s="305"/>
      <c r="AX21" s="77"/>
      <c r="AY21" s="77"/>
      <c r="AZ21" s="77"/>
      <c r="BA21" s="77"/>
      <c r="BB21" s="77"/>
      <c r="BC21" s="77"/>
      <c r="BD21" s="77"/>
      <c r="BE21" s="77"/>
      <c r="BF21" s="77"/>
      <c r="BG21" s="77"/>
    </row>
    <row r="22" spans="1:59" ht="12.75">
      <c r="A22" s="64"/>
      <c r="B22" s="63"/>
      <c r="C22" s="48"/>
      <c r="D22" s="20"/>
      <c r="E22" s="25"/>
      <c r="F22" s="63"/>
      <c r="G22" s="63"/>
      <c r="H22" s="63"/>
      <c r="I22" s="20"/>
      <c r="J22" s="20"/>
      <c r="K22" s="20"/>
      <c r="L22" s="20"/>
      <c r="M22" s="20"/>
      <c r="N22" s="20"/>
      <c r="O22" s="20"/>
      <c r="P22" s="62"/>
      <c r="Q22" s="64"/>
      <c r="R22" s="63"/>
      <c r="S22" s="48"/>
      <c r="T22" s="20"/>
      <c r="U22" s="25"/>
      <c r="V22" s="63"/>
      <c r="W22" s="63"/>
      <c r="X22" s="63"/>
      <c r="Y22" s="20"/>
      <c r="Z22" s="20"/>
      <c r="AA22" s="20"/>
      <c r="AB22" s="20"/>
      <c r="AC22" s="20"/>
      <c r="AD22" s="20"/>
      <c r="AE22" s="20"/>
      <c r="AF22" s="62"/>
      <c r="AI22" s="315"/>
      <c r="AJ22" s="316"/>
      <c r="AK22" s="77"/>
      <c r="AL22" s="128"/>
      <c r="AM22" s="129"/>
      <c r="AP22" s="87"/>
      <c r="AQ22" s="87"/>
      <c r="AT22" s="77"/>
      <c r="AU22" s="306"/>
      <c r="AV22" s="257"/>
      <c r="AW22" s="307"/>
      <c r="AX22" s="77"/>
      <c r="AY22" s="77"/>
      <c r="AZ22" s="77"/>
      <c r="BA22" s="77"/>
      <c r="BB22" s="77"/>
      <c r="BC22" s="77"/>
      <c r="BD22" s="77"/>
      <c r="BE22" s="77"/>
      <c r="BF22" s="77"/>
      <c r="BG22" s="77"/>
    </row>
    <row r="23" spans="1:59" ht="12.75">
      <c r="A23" s="54" t="s">
        <v>67</v>
      </c>
      <c r="B23" s="55"/>
      <c r="C23" s="56"/>
      <c r="D23" s="49"/>
      <c r="E23" s="20"/>
      <c r="F23" s="63" t="str">
        <f>IF(N_Fgl&gt;0,"Se il 1° figlio è in assenza del coniuge barrare la casella &gt;&gt;&gt;&gt;",Vuota1)</f>
        <v>        </v>
      </c>
      <c r="G23" s="63"/>
      <c r="H23" s="63"/>
      <c r="I23" s="20"/>
      <c r="J23" s="25"/>
      <c r="K23" s="20"/>
      <c r="L23" s="20"/>
      <c r="M23" s="20"/>
      <c r="N23" s="43"/>
      <c r="O23" s="63"/>
      <c r="P23" s="65"/>
      <c r="Q23" s="54" t="s">
        <v>67</v>
      </c>
      <c r="R23" s="55"/>
      <c r="S23" s="56"/>
      <c r="T23" s="49">
        <f>+D23</f>
        <v>0</v>
      </c>
      <c r="U23" s="20"/>
      <c r="V23" s="63" t="str">
        <f>IF(N_Fgl&gt;0,"Se il 1° figlio è in assenza delconiuge barrare la casella &gt;&gt;&gt;&gt;",Vuota1)</f>
        <v>        </v>
      </c>
      <c r="W23" s="63"/>
      <c r="X23" s="63"/>
      <c r="Y23" s="20"/>
      <c r="Z23" s="25"/>
      <c r="AA23" s="20"/>
      <c r="AB23" s="20"/>
      <c r="AC23" s="20"/>
      <c r="AD23" s="44">
        <f>+N23</f>
        <v>0</v>
      </c>
      <c r="AE23" s="63" t="str">
        <f>IF(AD23&gt;0,"Mesi a carico",Vuota1)</f>
        <v>        </v>
      </c>
      <c r="AF23" s="65"/>
      <c r="AI23" s="315"/>
      <c r="AJ23" s="316"/>
      <c r="AK23" s="77"/>
      <c r="AL23" s="128"/>
      <c r="AM23" s="129"/>
      <c r="AP23" s="87"/>
      <c r="AQ23" s="87"/>
      <c r="AT23" s="77"/>
      <c r="AU23" s="306"/>
      <c r="AV23" s="257"/>
      <c r="AW23" s="307"/>
      <c r="AX23" s="77"/>
      <c r="AY23" s="77"/>
      <c r="AZ23" s="77"/>
      <c r="BA23" s="77"/>
      <c r="BB23" s="77"/>
      <c r="BC23" s="77"/>
      <c r="BD23" s="77"/>
      <c r="BE23" s="77"/>
      <c r="BF23" s="77"/>
      <c r="BG23" s="77"/>
    </row>
    <row r="24" spans="1:59" ht="12.75" customHeight="1">
      <c r="A24" s="47"/>
      <c r="B24" s="239" t="s">
        <v>64</v>
      </c>
      <c r="C24" s="240"/>
      <c r="D24" s="293"/>
      <c r="E24" s="294" t="s">
        <v>65</v>
      </c>
      <c r="F24" s="295"/>
      <c r="G24" s="293"/>
      <c r="H24" s="294" t="s">
        <v>59</v>
      </c>
      <c r="I24" s="295"/>
      <c r="J24" s="293"/>
      <c r="K24" s="48"/>
      <c r="L24" s="63"/>
      <c r="M24" s="20"/>
      <c r="N24" s="20"/>
      <c r="O24" s="20"/>
      <c r="P24" s="62"/>
      <c r="Q24" s="47"/>
      <c r="R24" s="239" t="s">
        <v>64</v>
      </c>
      <c r="S24" s="240"/>
      <c r="T24" s="293"/>
      <c r="U24" s="294" t="s">
        <v>65</v>
      </c>
      <c r="V24" s="295"/>
      <c r="W24" s="293"/>
      <c r="X24" s="294" t="s">
        <v>59</v>
      </c>
      <c r="Y24" s="295"/>
      <c r="Z24" s="293"/>
      <c r="AA24" s="42" t="s">
        <v>80</v>
      </c>
      <c r="AB24" s="63"/>
      <c r="AC24" s="20"/>
      <c r="AD24" s="20"/>
      <c r="AE24" s="20"/>
      <c r="AF24" s="62"/>
      <c r="AI24" s="315"/>
      <c r="AJ24" s="316"/>
      <c r="AK24" s="77"/>
      <c r="AL24" s="128"/>
      <c r="AM24" s="129"/>
      <c r="AP24" s="87"/>
      <c r="AQ24" s="87"/>
      <c r="AT24" s="77"/>
      <c r="AU24" s="306"/>
      <c r="AV24" s="257"/>
      <c r="AW24" s="307"/>
      <c r="AX24" s="77"/>
      <c r="AY24" s="77"/>
      <c r="AZ24" s="77"/>
      <c r="BA24" s="77"/>
      <c r="BB24" s="77"/>
      <c r="BC24" s="77"/>
      <c r="BD24" s="77"/>
      <c r="BE24" s="77"/>
      <c r="BF24" s="77"/>
      <c r="BG24" s="77"/>
    </row>
    <row r="25" spans="1:59" ht="12.75" customHeight="1">
      <c r="A25" s="64" t="str">
        <f>IF(N_Fgl&gt;0,"1° figlio",Vuota1)</f>
        <v>        </v>
      </c>
      <c r="B25" s="63"/>
      <c r="C25" s="43"/>
      <c r="D25" s="63"/>
      <c r="E25" s="63"/>
      <c r="F25" s="43"/>
      <c r="G25" s="63"/>
      <c r="H25" s="63"/>
      <c r="I25" s="43"/>
      <c r="J25" s="63"/>
      <c r="K25" s="63"/>
      <c r="L25" s="66" t="str">
        <f>IF($D$23&gt;0,ROUND(AB25/12,2),Vuota1)</f>
        <v>        </v>
      </c>
      <c r="M25" s="231" t="s">
        <v>69</v>
      </c>
      <c r="N25" s="232"/>
      <c r="O25" s="233"/>
      <c r="P25" s="244">
        <v>1</v>
      </c>
      <c r="Q25" s="64" t="str">
        <f>IF(N_Fgl&gt;0,"1° figlio",Vuota1)</f>
        <v>        </v>
      </c>
      <c r="R25" s="63"/>
      <c r="S25" s="43">
        <f aca="true" t="shared" si="2" ref="S25:S31">+C25</f>
        <v>0</v>
      </c>
      <c r="T25" s="63"/>
      <c r="U25" s="63"/>
      <c r="V25" s="43">
        <f aca="true" t="shared" si="3" ref="V25:V31">+F25</f>
        <v>0</v>
      </c>
      <c r="W25" s="63"/>
      <c r="X25" s="63"/>
      <c r="Y25" s="43">
        <f aca="true" t="shared" si="4" ref="Y25:Y31">+I25</f>
        <v>0</v>
      </c>
      <c r="Z25" s="63"/>
      <c r="AA25" s="43"/>
      <c r="AB25" s="66" t="str">
        <f>IF(N_Fgl&gt;0,IF(AD23&gt;0,AH27,ROUND(dsfig*Percm,2)+IF($V$25&gt;0,ROUND((dsfg3-dsfig)*Percm,2),0)+IF($Y$25&gt;0,ROUND(dsfhc*Percm,2),0)),Vuota1)</f>
        <v>        </v>
      </c>
      <c r="AC25" s="231" t="s">
        <v>69</v>
      </c>
      <c r="AD25" s="232"/>
      <c r="AE25" s="233"/>
      <c r="AF25" s="244">
        <f>+P25</f>
        <v>1</v>
      </c>
      <c r="AH25" s="106">
        <f>ROUND(dsfig,5)+IF($V$25&gt;0,ROUND(dsfg3-dsfig,5),0)+IF($Y$25&gt;0,ROUND(dsfhc,5),0)</f>
        <v>0</v>
      </c>
      <c r="AI25" s="315"/>
      <c r="AJ25" s="316"/>
      <c r="AK25" s="77"/>
      <c r="AL25" s="128"/>
      <c r="AM25" s="129"/>
      <c r="AP25" s="87"/>
      <c r="AQ25" s="87"/>
      <c r="AT25" s="77"/>
      <c r="AU25" s="308"/>
      <c r="AV25" s="309"/>
      <c r="AW25" s="310"/>
      <c r="AX25" s="77"/>
      <c r="AY25" s="77"/>
      <c r="AZ25" s="77"/>
      <c r="BA25" s="77"/>
      <c r="BB25" s="77"/>
      <c r="BC25" s="77"/>
      <c r="BD25" s="77"/>
      <c r="BE25" s="77"/>
      <c r="BF25" s="77"/>
      <c r="BG25" s="77"/>
    </row>
    <row r="26" spans="1:59" ht="12.75">
      <c r="A26" s="64" t="str">
        <f>IF(N_Fgl&gt;1,"2° figlio"," ")</f>
        <v> </v>
      </c>
      <c r="B26" s="63"/>
      <c r="C26" s="43"/>
      <c r="D26" s="63"/>
      <c r="E26" s="63"/>
      <c r="F26" s="43"/>
      <c r="G26" s="63"/>
      <c r="H26" s="63"/>
      <c r="I26" s="43"/>
      <c r="J26" s="63"/>
      <c r="K26" s="63"/>
      <c r="L26" s="66" t="str">
        <f>IF($D$23&gt;1,ROUND(AB26/12,2),Vuota1)</f>
        <v>        </v>
      </c>
      <c r="M26" s="234"/>
      <c r="N26" s="188"/>
      <c r="O26" s="235"/>
      <c r="P26" s="245"/>
      <c r="Q26" s="64" t="str">
        <f>IF(N_Fgl&gt;1,"2° figlio"," ")</f>
        <v> </v>
      </c>
      <c r="R26" s="63"/>
      <c r="S26" s="43">
        <f t="shared" si="2"/>
        <v>0</v>
      </c>
      <c r="T26" s="63"/>
      <c r="U26" s="63"/>
      <c r="V26" s="43">
        <f t="shared" si="3"/>
        <v>0</v>
      </c>
      <c r="W26" s="63"/>
      <c r="X26" s="63"/>
      <c r="Y26" s="43">
        <f t="shared" si="4"/>
        <v>0</v>
      </c>
      <c r="Z26" s="63"/>
      <c r="AA26" s="43"/>
      <c r="AB26" s="66" t="str">
        <f>IF(N_Fgl&gt;1,ROUND(dsfig*Percm,2)+IF(V26&gt;0,ROUND((dsfg3-dsfig)*Percm,2),0)+IF(Y26&gt;0,ROUND(dsfhc*Percm,2),0),Vuota1)</f>
        <v>        </v>
      </c>
      <c r="AC26" s="234"/>
      <c r="AD26" s="188"/>
      <c r="AE26" s="235"/>
      <c r="AF26" s="245"/>
      <c r="AI26" s="315"/>
      <c r="AJ26" s="316"/>
      <c r="AK26" s="77"/>
      <c r="AL26" s="128"/>
      <c r="AM26" s="129"/>
      <c r="AP26" s="87"/>
      <c r="AQ26" s="8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</row>
    <row r="27" spans="1:59" ht="12.75">
      <c r="A27" s="64" t="str">
        <f>IF(N_Fgl&gt;2,"3° figlio"," ")</f>
        <v> </v>
      </c>
      <c r="B27" s="63"/>
      <c r="C27" s="43"/>
      <c r="D27" s="63"/>
      <c r="E27" s="63"/>
      <c r="F27" s="43"/>
      <c r="G27" s="63"/>
      <c r="H27" s="63"/>
      <c r="I27" s="43"/>
      <c r="J27" s="63"/>
      <c r="K27" s="63"/>
      <c r="L27" s="66" t="str">
        <f>IF($D$23&gt;2,ROUND(AB27/12,2),Vuota1)</f>
        <v>        </v>
      </c>
      <c r="M27" s="236"/>
      <c r="N27" s="237"/>
      <c r="O27" s="238"/>
      <c r="P27" s="246"/>
      <c r="Q27" s="64" t="str">
        <f>IF(N_Fgl&gt;2,"3° figlio"," ")</f>
        <v> </v>
      </c>
      <c r="R27" s="63"/>
      <c r="S27" s="43">
        <f t="shared" si="2"/>
        <v>0</v>
      </c>
      <c r="T27" s="63"/>
      <c r="U27" s="63"/>
      <c r="V27" s="43">
        <f t="shared" si="3"/>
        <v>0</v>
      </c>
      <c r="W27" s="63"/>
      <c r="X27" s="63"/>
      <c r="Y27" s="43">
        <f t="shared" si="4"/>
        <v>0</v>
      </c>
      <c r="Z27" s="63"/>
      <c r="AA27" s="43"/>
      <c r="AB27" s="66" t="str">
        <f>IF(N_Fgl&gt;2,ROUND(dsfig*Percm,2)+IF(V27&gt;0,ROUND((dsfg3-dsfig)*Percm,2),0)+IF(Y27&gt;0,ROUND(dsfhc*Percm,2),0),Vuota1)</f>
        <v>        </v>
      </c>
      <c r="AC27" s="236"/>
      <c r="AD27" s="237"/>
      <c r="AE27" s="238"/>
      <c r="AF27" s="246"/>
      <c r="AH27" s="106">
        <f>IF($AD$23&gt;0,IF($AH$25&gt;Cng_nn,ROUND($AH$25,2),ROUND(Cng_nn,5)),AH25)</f>
        <v>0</v>
      </c>
      <c r="AI27" s="315"/>
      <c r="AJ27" s="316"/>
      <c r="AK27" s="77"/>
      <c r="AL27" s="128"/>
      <c r="AM27" s="129"/>
      <c r="AP27" s="87"/>
      <c r="AQ27" s="8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</row>
    <row r="28" spans="1:59" ht="12.75">
      <c r="A28" s="64" t="str">
        <f>IF(N_Fgl&gt;3,"4° figlio"," ")</f>
        <v> </v>
      </c>
      <c r="B28" s="63"/>
      <c r="C28" s="43"/>
      <c r="D28" s="63"/>
      <c r="E28" s="63"/>
      <c r="F28" s="43"/>
      <c r="G28" s="63"/>
      <c r="H28" s="63"/>
      <c r="I28" s="43"/>
      <c r="J28" s="63"/>
      <c r="K28" s="63"/>
      <c r="L28" s="66" t="str">
        <f>IF($D$23&gt;3,ROUND(AB28/12,2),Vuota1)</f>
        <v>        </v>
      </c>
      <c r="M28" s="319" t="str">
        <f>IF(N23&gt;0,IF(P25=50%,"Attenzione: la percentuale deve essere 100%",Vuota1),Vuota1)</f>
        <v>        </v>
      </c>
      <c r="N28" s="319"/>
      <c r="O28" s="319"/>
      <c r="P28" s="320"/>
      <c r="Q28" s="64" t="str">
        <f>IF(N_Fgl&gt;3,"4° figlio"," ")</f>
        <v> </v>
      </c>
      <c r="R28" s="63"/>
      <c r="S28" s="43">
        <f t="shared" si="2"/>
        <v>0</v>
      </c>
      <c r="T28" s="63"/>
      <c r="U28" s="63"/>
      <c r="V28" s="43">
        <f t="shared" si="3"/>
        <v>0</v>
      </c>
      <c r="W28" s="63"/>
      <c r="X28" s="63"/>
      <c r="Y28" s="43">
        <f t="shared" si="4"/>
        <v>0</v>
      </c>
      <c r="Z28" s="63"/>
      <c r="AA28" s="43"/>
      <c r="AB28" s="66" t="str">
        <f>IF(N_Fgl&gt;3,ROUND(dsfig*Percm,2)+IF(V28&gt;0,ROUND((dsfg3-dsfig)*Percm,2),0)+IF(Y28&gt;0,ROUND(dsfhc*Percm,2),0),Vuota1)</f>
        <v>        </v>
      </c>
      <c r="AC28" s="20"/>
      <c r="AD28" s="20"/>
      <c r="AE28" s="20"/>
      <c r="AF28" s="62"/>
      <c r="AI28" s="315"/>
      <c r="AJ28" s="316"/>
      <c r="AK28" s="77"/>
      <c r="AL28" s="128"/>
      <c r="AM28" s="129"/>
      <c r="AP28" s="87"/>
      <c r="AQ28" s="8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</row>
    <row r="29" spans="1:59" ht="13.5" thickBot="1">
      <c r="A29" s="64" t="str">
        <f>IF(N_Fgl&gt;4,"5° figlio"," ")</f>
        <v> </v>
      </c>
      <c r="B29" s="63"/>
      <c r="C29" s="43"/>
      <c r="D29" s="63"/>
      <c r="E29" s="63"/>
      <c r="F29" s="43"/>
      <c r="G29" s="63"/>
      <c r="H29" s="63"/>
      <c r="I29" s="43"/>
      <c r="J29" s="63"/>
      <c r="K29" s="63"/>
      <c r="L29" s="66" t="str">
        <f>IF($D$23&gt;4,ROUND(AB29/12,2),Vuota1)</f>
        <v>        </v>
      </c>
      <c r="M29" s="321"/>
      <c r="N29" s="321"/>
      <c r="O29" s="321"/>
      <c r="P29" s="322"/>
      <c r="Q29" s="64" t="str">
        <f>IF(N_Fgl&gt;4,"5° figlio"," ")</f>
        <v> </v>
      </c>
      <c r="R29" s="63"/>
      <c r="S29" s="43">
        <f t="shared" si="2"/>
        <v>0</v>
      </c>
      <c r="T29" s="63"/>
      <c r="U29" s="63"/>
      <c r="V29" s="43">
        <f t="shared" si="3"/>
        <v>0</v>
      </c>
      <c r="W29" s="63"/>
      <c r="X29" s="63"/>
      <c r="Y29" s="43">
        <f t="shared" si="4"/>
        <v>0</v>
      </c>
      <c r="Z29" s="63"/>
      <c r="AA29" s="43"/>
      <c r="AB29" s="66" t="str">
        <f>IF(N_Fgl&gt;4,ROUND(dsfig*Percm,2)+IF(V29&gt;0,ROUND((dsfg3-dsfig)*Percm,2),0)+IF(Y29&gt;0,ROUND(dsfhc*Percm,2),0),Vuota1)</f>
        <v>        </v>
      </c>
      <c r="AC29" s="20"/>
      <c r="AD29" s="20"/>
      <c r="AE29" s="20"/>
      <c r="AF29" s="62"/>
      <c r="AI29" s="315"/>
      <c r="AJ29" s="316"/>
      <c r="AK29" s="77"/>
      <c r="AL29" s="128"/>
      <c r="AM29" s="129"/>
      <c r="AP29" s="87"/>
      <c r="AQ29" s="8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</row>
    <row r="30" spans="1:59" ht="13.5" thickTop="1">
      <c r="A30" s="64" t="str">
        <f>IF(N_Fgl&gt;5,"6° figlio"," ")</f>
        <v> </v>
      </c>
      <c r="B30" s="63"/>
      <c r="C30" s="43"/>
      <c r="D30" s="63"/>
      <c r="E30" s="63"/>
      <c r="F30" s="43"/>
      <c r="G30" s="63"/>
      <c r="H30" s="63"/>
      <c r="I30" s="43"/>
      <c r="J30" s="63"/>
      <c r="K30" s="63"/>
      <c r="L30" s="66" t="str">
        <f>IF($D$23&gt;5,ROUND(AB30/12,2),Vuota1)</f>
        <v>        </v>
      </c>
      <c r="M30" s="20"/>
      <c r="N30" s="20"/>
      <c r="O30" s="20"/>
      <c r="P30" s="62"/>
      <c r="Q30" s="64" t="str">
        <f>IF(N_Fgl&gt;5,"6° figlio"," ")</f>
        <v> </v>
      </c>
      <c r="R30" s="63"/>
      <c r="S30" s="43">
        <f t="shared" si="2"/>
        <v>0</v>
      </c>
      <c r="T30" s="63"/>
      <c r="U30" s="63"/>
      <c r="V30" s="43">
        <f t="shared" si="3"/>
        <v>0</v>
      </c>
      <c r="W30" s="63"/>
      <c r="X30" s="63"/>
      <c r="Y30" s="43">
        <f t="shared" si="4"/>
        <v>0</v>
      </c>
      <c r="Z30" s="63"/>
      <c r="AA30" s="43"/>
      <c r="AB30" s="66" t="str">
        <f>IF(N_Fgl&gt;5,ROUND(dsfig*Percm,2)+IF(V30&gt;0,ROUND((dsfg3-dsfig)*Percm,2),0)+IF(Y30&gt;0,ROUND(dsfhc*Percm,2),0),Vuota1)</f>
        <v>        </v>
      </c>
      <c r="AC30" s="20"/>
      <c r="AD30" s="20"/>
      <c r="AE30" s="20"/>
      <c r="AF30" s="62"/>
      <c r="AI30" s="315"/>
      <c r="AJ30" s="316"/>
      <c r="AK30" s="77"/>
      <c r="AL30" s="128"/>
      <c r="AM30" s="129"/>
      <c r="AP30" s="87"/>
      <c r="AQ30" s="87"/>
      <c r="AT30" s="77"/>
      <c r="AU30" s="253" t="s">
        <v>99</v>
      </c>
      <c r="AV30" s="254"/>
      <c r="AW30" s="255"/>
      <c r="AX30" s="77"/>
      <c r="AY30" s="77"/>
      <c r="AZ30" s="77"/>
      <c r="BA30" s="77"/>
      <c r="BB30" s="77"/>
      <c r="BC30" s="77"/>
      <c r="BD30" s="77"/>
      <c r="BE30" s="77"/>
      <c r="BF30" s="77"/>
      <c r="BG30" s="77"/>
    </row>
    <row r="31" spans="1:59" ht="12.75">
      <c r="A31" s="64" t="str">
        <f>IF(N_Fgl&gt;6,"7° figlio"," ")</f>
        <v> </v>
      </c>
      <c r="B31" s="63"/>
      <c r="C31" s="43"/>
      <c r="D31" s="63"/>
      <c r="E31" s="63"/>
      <c r="F31" s="43"/>
      <c r="G31" s="63"/>
      <c r="H31" s="63"/>
      <c r="I31" s="43"/>
      <c r="J31" s="63"/>
      <c r="K31" s="63"/>
      <c r="L31" s="66" t="str">
        <f>IF($D$23&gt;6,ROUND(AB31/12,2),Vuota1)</f>
        <v>        </v>
      </c>
      <c r="M31" s="20"/>
      <c r="N31" s="20"/>
      <c r="O31" s="20"/>
      <c r="P31" s="62"/>
      <c r="Q31" s="64" t="str">
        <f>IF(N_Fgl&gt;6,"7° figlio"," ")</f>
        <v> </v>
      </c>
      <c r="R31" s="63"/>
      <c r="S31" s="43">
        <f t="shared" si="2"/>
        <v>0</v>
      </c>
      <c r="T31" s="63"/>
      <c r="U31" s="63"/>
      <c r="V31" s="43">
        <f t="shared" si="3"/>
        <v>0</v>
      </c>
      <c r="W31" s="63"/>
      <c r="X31" s="63"/>
      <c r="Y31" s="43">
        <f t="shared" si="4"/>
        <v>0</v>
      </c>
      <c r="Z31" s="63"/>
      <c r="AA31" s="43"/>
      <c r="AB31" s="66" t="str">
        <f>IF(N_Fgl&gt;6,ROUND(dsfig*Percm,2)+IF(V31&gt;0,ROUND((dsfg3-dsfig)*Percm,2),0)+IF(Y31&gt;0,ROUND(dsfhc*Percm,2),0),Vuota1)</f>
        <v>        </v>
      </c>
      <c r="AC31" s="20"/>
      <c r="AD31" s="20"/>
      <c r="AE31" s="20"/>
      <c r="AF31" s="62"/>
      <c r="AI31" s="315"/>
      <c r="AJ31" s="316"/>
      <c r="AK31" s="77"/>
      <c r="AL31" s="128"/>
      <c r="AM31" s="129"/>
      <c r="AP31" s="87"/>
      <c r="AQ31" s="87"/>
      <c r="AT31" s="77"/>
      <c r="AU31" s="256"/>
      <c r="AV31" s="257"/>
      <c r="AW31" s="258"/>
      <c r="AX31" s="77"/>
      <c r="AY31" s="77"/>
      <c r="AZ31" s="77"/>
      <c r="BA31" s="77"/>
      <c r="BB31" s="77"/>
      <c r="BC31" s="77"/>
      <c r="BD31" s="77"/>
      <c r="BE31" s="77"/>
      <c r="BF31" s="77"/>
      <c r="BG31" s="77"/>
    </row>
    <row r="32" spans="1:59" ht="12.75">
      <c r="A32" s="5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62"/>
      <c r="Q32" s="57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62"/>
      <c r="AI32" s="315"/>
      <c r="AJ32" s="316"/>
      <c r="AK32" s="77"/>
      <c r="AL32" s="128"/>
      <c r="AM32" s="129"/>
      <c r="AP32" s="87"/>
      <c r="AQ32" s="87"/>
      <c r="AT32" s="77"/>
      <c r="AU32" s="256"/>
      <c r="AV32" s="257"/>
      <c r="AW32" s="258"/>
      <c r="AX32" s="77"/>
      <c r="AY32" s="77"/>
      <c r="AZ32" s="77"/>
      <c r="BA32" s="77"/>
      <c r="BB32" s="77"/>
      <c r="BC32" s="77"/>
      <c r="BD32" s="77"/>
      <c r="BE32" s="77"/>
      <c r="BF32" s="77"/>
      <c r="BG32" s="77"/>
    </row>
    <row r="33" spans="1:59" ht="12.75" customHeight="1">
      <c r="A33" s="286" t="s">
        <v>86</v>
      </c>
      <c r="B33" s="287"/>
      <c r="C33" s="288"/>
      <c r="D33" s="2"/>
      <c r="E33" s="20"/>
      <c r="F33" s="63"/>
      <c r="G33" s="63"/>
      <c r="H33" s="63"/>
      <c r="I33" s="45"/>
      <c r="J33" s="20"/>
      <c r="K33" s="188" t="str">
        <f>IF(D33&gt;0,"Indicare il numero complessivo degli aventi diritto alla detrazione pro quota",Vuota1)</f>
        <v>        </v>
      </c>
      <c r="L33" s="179"/>
      <c r="M33" s="179"/>
      <c r="N33" s="179"/>
      <c r="O33" s="179"/>
      <c r="P33" s="223"/>
      <c r="Q33" s="286" t="s">
        <v>86</v>
      </c>
      <c r="R33" s="287"/>
      <c r="S33" s="288"/>
      <c r="T33" s="2">
        <f>+D33</f>
        <v>0</v>
      </c>
      <c r="U33" s="20"/>
      <c r="V33" s="63" t="str">
        <f>IF(T33&gt;0,"Mesi a carico",Vuota1)</f>
        <v>        </v>
      </c>
      <c r="W33" s="63"/>
      <c r="X33" s="63"/>
      <c r="Y33" s="45">
        <v>12</v>
      </c>
      <c r="Z33" s="20"/>
      <c r="AA33" s="188" t="str">
        <f>IF(T33&gt;0,"Indicare il numero complessivo degli aventi diritto alla detrazione pro quota",Vuota1)</f>
        <v>        </v>
      </c>
      <c r="AB33" s="311"/>
      <c r="AC33" s="311"/>
      <c r="AD33" s="311"/>
      <c r="AE33" s="311"/>
      <c r="AF33" s="223">
        <f>+P33</f>
        <v>0</v>
      </c>
      <c r="AI33" s="315"/>
      <c r="AJ33" s="316"/>
      <c r="AK33" s="77"/>
      <c r="AL33" s="128"/>
      <c r="AM33" s="129"/>
      <c r="AP33" s="87"/>
      <c r="AQ33" s="87"/>
      <c r="AT33" s="77"/>
      <c r="AU33" s="256"/>
      <c r="AV33" s="257"/>
      <c r="AW33" s="258"/>
      <c r="AX33" s="77"/>
      <c r="AY33" s="77"/>
      <c r="AZ33" s="77"/>
      <c r="BA33" s="77"/>
      <c r="BB33" s="77"/>
      <c r="BC33" s="77"/>
      <c r="BD33" s="77"/>
      <c r="BE33" s="77"/>
      <c r="BF33" s="77"/>
      <c r="BG33" s="77"/>
    </row>
    <row r="34" spans="1:59" ht="12.75">
      <c r="A34" s="80"/>
      <c r="B34" s="81"/>
      <c r="C34" s="81"/>
      <c r="D34" s="82"/>
      <c r="E34" s="20"/>
      <c r="F34" s="63"/>
      <c r="G34" s="63"/>
      <c r="H34" s="63"/>
      <c r="I34" s="45"/>
      <c r="J34" s="20"/>
      <c r="K34" s="180"/>
      <c r="L34" s="180"/>
      <c r="M34" s="180"/>
      <c r="N34" s="180"/>
      <c r="O34" s="180"/>
      <c r="P34" s="224"/>
      <c r="Q34" s="80"/>
      <c r="R34" s="81"/>
      <c r="S34" s="81"/>
      <c r="T34" s="82"/>
      <c r="U34" s="20"/>
      <c r="V34" s="63"/>
      <c r="W34" s="63"/>
      <c r="X34" s="63"/>
      <c r="Y34" s="45"/>
      <c r="Z34" s="20"/>
      <c r="AA34" s="180"/>
      <c r="AB34" s="180"/>
      <c r="AC34" s="180"/>
      <c r="AD34" s="180"/>
      <c r="AE34" s="180"/>
      <c r="AF34" s="224"/>
      <c r="AI34" s="315"/>
      <c r="AJ34" s="316"/>
      <c r="AK34" s="77"/>
      <c r="AL34" s="128"/>
      <c r="AM34" s="129"/>
      <c r="AP34" s="87"/>
      <c r="AQ34" s="87"/>
      <c r="AT34" s="77"/>
      <c r="AU34" s="256"/>
      <c r="AV34" s="257"/>
      <c r="AW34" s="258"/>
      <c r="AX34" s="77"/>
      <c r="AY34" s="77"/>
      <c r="AZ34" s="77"/>
      <c r="BA34" s="77"/>
      <c r="BB34" s="77"/>
      <c r="BC34" s="77"/>
      <c r="BD34" s="77"/>
      <c r="BE34" s="77"/>
      <c r="BF34" s="77"/>
      <c r="BG34" s="77"/>
    </row>
    <row r="35" spans="1:59" ht="12.75">
      <c r="A35" s="165" t="s">
        <v>70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7"/>
      <c r="Q35" s="165" t="s">
        <v>70</v>
      </c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7"/>
      <c r="AI35" s="315"/>
      <c r="AJ35" s="316"/>
      <c r="AK35" s="77"/>
      <c r="AL35" s="120">
        <v>0.0001</v>
      </c>
      <c r="AM35" s="121">
        <f>ROUND(DetrConiuge-(Ind*Rapp),2)</f>
        <v>800</v>
      </c>
      <c r="AO35">
        <f>IF(AP35&gt;0,1,0)</f>
        <v>0</v>
      </c>
      <c r="AP35" s="87"/>
      <c r="AQ35" s="87">
        <v>200</v>
      </c>
      <c r="AT35" s="77"/>
      <c r="AU35" s="256"/>
      <c r="AV35" s="257"/>
      <c r="AW35" s="258"/>
      <c r="AX35" s="77"/>
      <c r="AY35" s="77"/>
      <c r="AZ35" s="77"/>
      <c r="BA35" s="77"/>
      <c r="BB35" s="77"/>
      <c r="BC35" s="77"/>
      <c r="BD35" s="77"/>
      <c r="BE35" s="77"/>
      <c r="BF35" s="77"/>
      <c r="BG35" s="77"/>
    </row>
    <row r="36" spans="1:59" ht="12.75">
      <c r="A36" s="290" t="s">
        <v>32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2"/>
      <c r="Q36" s="290" t="s">
        <v>32</v>
      </c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2"/>
      <c r="AH36" s="184" t="s">
        <v>62</v>
      </c>
      <c r="AI36" s="315"/>
      <c r="AJ36" s="316"/>
      <c r="AK36" s="77"/>
      <c r="AL36" s="122">
        <v>1</v>
      </c>
      <c r="AM36" s="121">
        <f>+DetrRid</f>
        <v>690</v>
      </c>
      <c r="AO36">
        <f>IF(AP36&gt;0,1,0)</f>
        <v>0</v>
      </c>
      <c r="AP36" s="87"/>
      <c r="AQ36" s="87">
        <v>1500</v>
      </c>
      <c r="AT36" s="77"/>
      <c r="AU36" s="256"/>
      <c r="AV36" s="257"/>
      <c r="AW36" s="258"/>
      <c r="AX36" s="77"/>
      <c r="AY36" s="77"/>
      <c r="AZ36" s="77"/>
      <c r="BA36" s="77"/>
      <c r="BB36" s="77"/>
      <c r="BC36" s="77"/>
      <c r="BD36" s="77"/>
      <c r="BE36" s="77"/>
      <c r="BF36" s="77"/>
      <c r="BG36" s="77"/>
    </row>
    <row r="37" spans="1:59" ht="12.75">
      <c r="A37" s="225" t="s">
        <v>19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7"/>
      <c r="M37" s="3">
        <f>ROUND(AC37/12,0)</f>
        <v>0</v>
      </c>
      <c r="N37" s="20"/>
      <c r="O37" s="20"/>
      <c r="P37" s="62"/>
      <c r="Q37" s="225" t="s">
        <v>19</v>
      </c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7"/>
      <c r="AC37" s="3">
        <f>IF(CNG="SI",ROUND((VLOOKUP(Redd_Detraz,ConDetr,3)+VLOOKUP(Redd_Detraz,LettB,3))/12*Me_co,2),0)</f>
        <v>0</v>
      </c>
      <c r="AD37" s="20"/>
      <c r="AE37" s="20"/>
      <c r="AF37" s="62"/>
      <c r="AH37" s="184"/>
      <c r="AI37" s="315"/>
      <c r="AJ37" s="316"/>
      <c r="AK37" s="77"/>
      <c r="AL37" s="123">
        <v>10</v>
      </c>
      <c r="AM37" s="124">
        <f>ROUND(DetrConiuge-(Ind*Rapp),2)</f>
        <v>800</v>
      </c>
      <c r="AO37">
        <f>SUM(AO18:AO36)</f>
        <v>0</v>
      </c>
      <c r="AT37" s="77"/>
      <c r="AU37" s="256"/>
      <c r="AV37" s="257"/>
      <c r="AW37" s="258"/>
      <c r="AX37" s="77"/>
      <c r="AY37" s="77"/>
      <c r="AZ37" s="77"/>
      <c r="BA37" s="77"/>
      <c r="BB37" s="77"/>
      <c r="BC37" s="77"/>
      <c r="BD37" s="77"/>
      <c r="BE37" s="77"/>
      <c r="BF37" s="77"/>
      <c r="BG37" s="77"/>
    </row>
    <row r="38" spans="1:59" ht="13.5" thickBot="1">
      <c r="A38" s="225" t="s">
        <v>42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7"/>
      <c r="M38" s="3">
        <f>ROUND(AC38/12,0)</f>
        <v>0</v>
      </c>
      <c r="N38" s="20"/>
      <c r="O38" s="20"/>
      <c r="P38" s="62"/>
      <c r="Q38" s="225" t="s">
        <v>42</v>
      </c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7"/>
      <c r="AC38" s="3">
        <f>SUMIF(AB25:AB31,"&gt;0")</f>
        <v>0</v>
      </c>
      <c r="AD38" s="20"/>
      <c r="AE38" s="20"/>
      <c r="AF38" s="62"/>
      <c r="AH38" s="109">
        <f>IF(Lordo&gt;0,ROUND((VLOOKUP(Redd_Detraz,ConDetr,3)+VLOOKUP(Redd_Detraz,LettB,3)),5),0)</f>
        <v>0</v>
      </c>
      <c r="AI38" s="315"/>
      <c r="AJ38" s="110">
        <v>40000</v>
      </c>
      <c r="AK38" s="77"/>
      <c r="AL38" s="125"/>
      <c r="AM38" s="126">
        <f>+DetrRid</f>
        <v>690</v>
      </c>
      <c r="AT38" s="77"/>
      <c r="AU38" s="259"/>
      <c r="AV38" s="260"/>
      <c r="AW38" s="261"/>
      <c r="AX38" s="77"/>
      <c r="AY38" s="77"/>
      <c r="AZ38" s="77"/>
      <c r="BA38" s="77"/>
      <c r="BB38" s="77"/>
      <c r="BC38" s="77"/>
      <c r="BD38" s="77"/>
      <c r="BE38" s="77"/>
      <c r="BF38" s="77"/>
      <c r="BG38" s="77"/>
    </row>
    <row r="39" spans="1:59" ht="13.5" thickTop="1">
      <c r="A39" s="225" t="s">
        <v>56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7"/>
      <c r="M39" s="3">
        <f>IF(D33&gt;0,IF(P33&gt;0,ROUND(AC39/12,0),0),0)</f>
        <v>0</v>
      </c>
      <c r="N39" s="20"/>
      <c r="O39" s="20"/>
      <c r="P39" s="62"/>
      <c r="Q39" s="225" t="s">
        <v>56</v>
      </c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7"/>
      <c r="AC39" s="3">
        <f>IF(T33&gt;0,ROUND(dsaltri*T33/12*Y33/AF33,2),0)</f>
        <v>0</v>
      </c>
      <c r="AD39" s="20"/>
      <c r="AE39" s="20"/>
      <c r="AF39" s="62"/>
      <c r="AI39" s="315"/>
      <c r="AJ39" s="316">
        <v>80000</v>
      </c>
      <c r="AK39" s="77"/>
      <c r="AL39" s="118">
        <v>0</v>
      </c>
      <c r="AM39" s="119">
        <v>0</v>
      </c>
      <c r="AP39">
        <f>IF(AO37&gt;0,IF(VLOOKUP(AP42,abi,2)&lt;DetrRid,DetrRid,VLOOKUP(AP42,abi,2)),0)</f>
        <v>0</v>
      </c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</row>
    <row r="40" spans="1:59" ht="12.75">
      <c r="A40" s="172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4"/>
      <c r="Q40" s="172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4"/>
      <c r="AH40" s="184" t="s">
        <v>63</v>
      </c>
      <c r="AI40" s="315"/>
      <c r="AJ40" s="316"/>
      <c r="AK40" s="77"/>
      <c r="AL40" s="120">
        <v>0.0001</v>
      </c>
      <c r="AM40" s="121">
        <f>ROUND(DetrRid*Rap1,2)</f>
        <v>1380</v>
      </c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</row>
    <row r="41" spans="1:59" ht="12.75">
      <c r="A41" s="225" t="s">
        <v>76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7"/>
      <c r="M41" s="3">
        <f>SUM(M37:M39)</f>
        <v>0</v>
      </c>
      <c r="N41" s="20"/>
      <c r="O41" s="20"/>
      <c r="P41" s="62"/>
      <c r="Q41" s="225" t="s">
        <v>76</v>
      </c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7"/>
      <c r="AC41" s="3">
        <f>SUM(AC37:AC39)</f>
        <v>0</v>
      </c>
      <c r="AD41" s="20"/>
      <c r="AE41" s="20"/>
      <c r="AF41" s="62"/>
      <c r="AH41" s="184"/>
      <c r="AI41" s="315"/>
      <c r="AJ41" s="316"/>
      <c r="AK41" s="77"/>
      <c r="AL41" s="122">
        <v>1</v>
      </c>
      <c r="AM41" s="121">
        <f>ROUND(DetrRid*Rap1,2)</f>
        <v>1380</v>
      </c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</row>
    <row r="42" spans="1:59" ht="12.75">
      <c r="A42" s="165" t="s">
        <v>71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7"/>
      <c r="Q42" s="165" t="s">
        <v>71</v>
      </c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7"/>
      <c r="AH42" s="106">
        <f>dsfig+IF($V$25&gt;0,dsfg3-dsfig,0)+IF($Y$25&gt;0,dsfhc,0)</f>
        <v>0</v>
      </c>
      <c r="AI42" s="315"/>
      <c r="AJ42" s="316"/>
      <c r="AK42" s="77"/>
      <c r="AL42" s="123">
        <v>10</v>
      </c>
      <c r="AM42" s="124">
        <f>ROUND(DetrRid*Rap1,2)</f>
        <v>1380</v>
      </c>
      <c r="AP42" t="s">
        <v>58</v>
      </c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</row>
    <row r="43" spans="1:59" ht="12.75">
      <c r="A43" s="155" t="s">
        <v>73</v>
      </c>
      <c r="B43" s="156"/>
      <c r="C43" s="156"/>
      <c r="D43" s="156"/>
      <c r="E43" s="156"/>
      <c r="F43" s="157"/>
      <c r="G43" s="46" t="str">
        <f>IF(E17&gt;0,IF(G44&gt;0,Vuota1,"x"),Vuota1)</f>
        <v>        </v>
      </c>
      <c r="H43" s="63"/>
      <c r="I43" s="312" t="s">
        <v>141</v>
      </c>
      <c r="J43" s="158"/>
      <c r="K43" s="158"/>
      <c r="L43" s="158"/>
      <c r="M43" s="2">
        <v>30</v>
      </c>
      <c r="N43" s="20"/>
      <c r="O43" s="20"/>
      <c r="P43" s="62"/>
      <c r="Q43" s="155" t="s">
        <v>73</v>
      </c>
      <c r="R43" s="156"/>
      <c r="S43" s="156"/>
      <c r="T43" s="156"/>
      <c r="U43" s="156"/>
      <c r="V43" s="157"/>
      <c r="W43" s="46" t="str">
        <f>IF(W44&gt;0,Vuota1,"x")</f>
        <v>x</v>
      </c>
      <c r="X43" s="63"/>
      <c r="Y43" s="312" t="s">
        <v>75</v>
      </c>
      <c r="Z43" s="158"/>
      <c r="AA43" s="158"/>
      <c r="AB43" s="158"/>
      <c r="AC43" s="2">
        <v>365</v>
      </c>
      <c r="AD43" s="20"/>
      <c r="AE43" s="20"/>
      <c r="AF43" s="62"/>
      <c r="AI43" s="315"/>
      <c r="AJ43" s="114">
        <v>1000000000</v>
      </c>
      <c r="AK43" s="77"/>
      <c r="AL43" s="130">
        <v>0</v>
      </c>
      <c r="AM43" s="124">
        <v>0</v>
      </c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</row>
    <row r="44" spans="1:59" ht="12.75">
      <c r="A44" s="67" t="s">
        <v>74</v>
      </c>
      <c r="B44" s="68"/>
      <c r="C44" s="68"/>
      <c r="D44" s="68"/>
      <c r="E44" s="68"/>
      <c r="F44" s="20"/>
      <c r="G44" s="2"/>
      <c r="H44" s="63"/>
      <c r="I44" s="63"/>
      <c r="J44" s="63"/>
      <c r="K44" s="158" t="s">
        <v>77</v>
      </c>
      <c r="L44" s="158"/>
      <c r="M44" s="158"/>
      <c r="N44" s="159"/>
      <c r="O44" s="39">
        <f>IF(E17&gt;0,ROUND(AE44/365*M43,0),0)</f>
        <v>0</v>
      </c>
      <c r="P44" s="62"/>
      <c r="Q44" s="67" t="s">
        <v>74</v>
      </c>
      <c r="R44" s="68"/>
      <c r="S44" s="68"/>
      <c r="T44" s="68"/>
      <c r="U44" s="68"/>
      <c r="V44" s="20"/>
      <c r="W44" s="2">
        <f>+G44</f>
        <v>0</v>
      </c>
      <c r="X44" s="63"/>
      <c r="Y44" s="63"/>
      <c r="Z44" s="63"/>
      <c r="AA44" s="158" t="s">
        <v>77</v>
      </c>
      <c r="AB44" s="158"/>
      <c r="AC44" s="158"/>
      <c r="AD44" s="159"/>
      <c r="AE44" s="39">
        <f>IF(Lordo&gt;0,IF(W44&gt;0,IF(Redd_Detraz&lt;8000.01,IF(AH44&gt;AH47,AH44,AH47),AH44),IF(Redd_Detraz&lt;8000.01,IF(AH44&gt;AH46,AH44,AH46),AH44)),0)</f>
        <v>0</v>
      </c>
      <c r="AF44" s="62"/>
      <c r="AH44" s="373">
        <f>IF(Redd_Detraz&gt;0,ROUND((VLOOKUP(Redd_Detraz,Altre_detraz,2)/365*AC43+VLOOKUP(Redd_Detraz,Aum_altre,2)),5),0)</f>
        <v>0</v>
      </c>
      <c r="AI44" s="315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</row>
    <row r="45" spans="1:59" ht="12.75" customHeight="1" thickBot="1">
      <c r="A45" s="6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70"/>
      <c r="Q45" s="69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70"/>
      <c r="AI45" s="315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</row>
    <row r="46" spans="1:59" ht="12.75" customHeight="1" thickBot="1">
      <c r="A46" s="220" t="s">
        <v>142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2"/>
      <c r="O46" s="228">
        <f>+E17-L18</f>
        <v>0</v>
      </c>
      <c r="P46" s="228"/>
      <c r="Q46" s="71" t="s">
        <v>20</v>
      </c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228">
        <f>+Reddito_imponibile_mensile+Gratif_Anno</f>
        <v>0</v>
      </c>
      <c r="AF46" s="228"/>
      <c r="AH46" s="106">
        <v>690</v>
      </c>
      <c r="AI46" s="315"/>
      <c r="AJ46" s="106">
        <v>0.001</v>
      </c>
      <c r="AK46" s="87"/>
      <c r="AL46" s="106">
        <f>VLOOKUP(Rapp,quin,2)</f>
        <v>0</v>
      </c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</row>
    <row r="47" spans="1:59" ht="12.75" customHeight="1" thickBot="1">
      <c r="A47" s="220" t="s">
        <v>143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2"/>
      <c r="O47" s="162">
        <f>ROUND(IreTab/12,5)</f>
        <v>0</v>
      </c>
      <c r="P47" s="162"/>
      <c r="Q47" s="35" t="s">
        <v>60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14">
        <f>IF(Lordo&gt;0,IF(Reddito_imponibile_mensile&gt;0,ROUND((Reddito_imponibile_mensile-VLOOKUP(Reddito_imponibile_mensile,Aliquote,1))*VLOOKUP(Reddito_imponibile_mensile,Aliquote,3),5)+VLOOKUP(Reddito_imponibile_mensile,Aliquote,4),0)+IF(Gratif_Anno&gt;0,ROUND(Gratif_Anno*VLOOKUP(ReddNetto,Aliquote,3),5),0),0)</f>
        <v>0</v>
      </c>
      <c r="AF47" s="314"/>
      <c r="AH47" s="106">
        <v>1380</v>
      </c>
      <c r="AI47" s="315"/>
      <c r="AJ47" s="106">
        <v>15000</v>
      </c>
      <c r="AK47" s="87"/>
      <c r="AL47" s="106">
        <f>+DetrRid</f>
        <v>690</v>
      </c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</row>
    <row r="48" spans="1:59" ht="13.5" thickBot="1">
      <c r="A48" s="220" t="s">
        <v>144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2"/>
      <c r="O48" s="162">
        <f>+M41+O44</f>
        <v>0</v>
      </c>
      <c r="P48" s="162"/>
      <c r="Q48" s="37" t="s">
        <v>36</v>
      </c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162">
        <f>+AC41+AE44</f>
        <v>0</v>
      </c>
      <c r="AF48" s="162"/>
      <c r="AI48" s="315"/>
      <c r="AJ48" s="106">
        <v>40000</v>
      </c>
      <c r="AK48" s="87"/>
      <c r="AL48" s="106">
        <f>VLOOKUP(Rap1,ottan,2)</f>
        <v>1380</v>
      </c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</row>
    <row r="49" spans="1:59" ht="16.5" thickBot="1">
      <c r="A49" s="296" t="s">
        <v>147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97"/>
      <c r="O49" s="326">
        <f>IF(O47-O48&gt;0,O47-O48,0)</f>
        <v>0</v>
      </c>
      <c r="P49" s="178"/>
      <c r="Q49" s="71" t="s">
        <v>61</v>
      </c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177">
        <f>+AE47-AE48</f>
        <v>0</v>
      </c>
      <c r="AF49" s="178"/>
      <c r="AI49" s="315"/>
      <c r="AJ49" s="106">
        <v>80000</v>
      </c>
      <c r="AK49" s="87"/>
      <c r="AL49" s="106">
        <v>0</v>
      </c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</row>
    <row r="50" spans="1:59" ht="16.5" thickBot="1">
      <c r="A50" s="190" t="s">
        <v>146</v>
      </c>
      <c r="B50" s="190"/>
      <c r="C50" s="190"/>
      <c r="D50" s="190"/>
      <c r="E50" s="191" t="str">
        <f>IF(E17&gt;0,VLOOKUP(ReddNetto,Aliquote,3),Vuota1)</f>
        <v>        </v>
      </c>
      <c r="F50" s="191"/>
      <c r="G50" s="152"/>
      <c r="H50" s="152"/>
      <c r="I50" s="152"/>
      <c r="J50" s="152"/>
      <c r="K50" s="323" t="s">
        <v>131</v>
      </c>
      <c r="L50" s="323"/>
      <c r="M50" s="323"/>
      <c r="N50" s="323"/>
      <c r="O50" s="324">
        <f>+O49</f>
        <v>0</v>
      </c>
      <c r="P50" s="325"/>
      <c r="Q50" s="72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73"/>
      <c r="AI50" s="315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</row>
    <row r="51" spans="17:59" ht="12.75">
      <c r="Q51" s="57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62"/>
      <c r="AI51" s="315"/>
      <c r="AJ51" s="137">
        <v>0</v>
      </c>
      <c r="AK51" s="138"/>
      <c r="AL51" s="115">
        <v>0</v>
      </c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</row>
    <row r="52" spans="17:59" ht="13.5">
      <c r="Q52" s="168" t="s">
        <v>21</v>
      </c>
      <c r="R52" s="169"/>
      <c r="S52" s="169"/>
      <c r="T52" s="153"/>
      <c r="U52" s="163" t="s">
        <v>22</v>
      </c>
      <c r="V52" s="154"/>
      <c r="W52" s="164"/>
      <c r="X52" s="163" t="s">
        <v>23</v>
      </c>
      <c r="Y52" s="154"/>
      <c r="Z52" s="164"/>
      <c r="AA52" s="163" t="s">
        <v>24</v>
      </c>
      <c r="AB52" s="164"/>
      <c r="AC52" s="52" t="s">
        <v>25</v>
      </c>
      <c r="AD52" s="163" t="s">
        <v>26</v>
      </c>
      <c r="AE52" s="164"/>
      <c r="AF52" s="62"/>
      <c r="AI52" s="315"/>
      <c r="AJ52" s="139">
        <v>29000.01</v>
      </c>
      <c r="AK52" s="140"/>
      <c r="AL52" s="116">
        <v>10</v>
      </c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</row>
    <row r="53" spans="17:59" ht="12.75">
      <c r="Q53" s="163" t="s">
        <v>27</v>
      </c>
      <c r="R53" s="154"/>
      <c r="S53" s="154"/>
      <c r="T53" s="164"/>
      <c r="U53" s="53"/>
      <c r="V53" s="2">
        <v>1.4</v>
      </c>
      <c r="W53" s="53"/>
      <c r="X53" s="175">
        <f>+ReddNetto</f>
        <v>0</v>
      </c>
      <c r="Y53" s="219"/>
      <c r="Z53" s="176"/>
      <c r="AA53" s="175">
        <f>ROUND(X53*V53%,2)</f>
        <v>0</v>
      </c>
      <c r="AB53" s="176"/>
      <c r="AC53" s="2">
        <v>10</v>
      </c>
      <c r="AD53" s="175">
        <f>ROUND(AA53/AC53,2)</f>
        <v>0</v>
      </c>
      <c r="AE53" s="176"/>
      <c r="AF53" s="62"/>
      <c r="AI53" s="315"/>
      <c r="AJ53" s="139">
        <v>29200.01</v>
      </c>
      <c r="AK53" s="140"/>
      <c r="AL53" s="116">
        <v>20</v>
      </c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</row>
    <row r="54" spans="17:59" ht="12.75">
      <c r="Q54" s="163" t="s">
        <v>28</v>
      </c>
      <c r="R54" s="154"/>
      <c r="S54" s="154"/>
      <c r="T54" s="164"/>
      <c r="U54" s="53"/>
      <c r="V54" s="2">
        <v>0.4</v>
      </c>
      <c r="W54" s="53"/>
      <c r="X54" s="175">
        <f>+ReddNetto</f>
        <v>0</v>
      </c>
      <c r="Y54" s="219"/>
      <c r="Z54" s="176"/>
      <c r="AA54" s="175">
        <f>ROUND(X54*V54%,2)</f>
        <v>0</v>
      </c>
      <c r="AB54" s="176"/>
      <c r="AC54" s="52" t="s">
        <v>25</v>
      </c>
      <c r="AD54" s="163" t="s">
        <v>26</v>
      </c>
      <c r="AE54" s="164"/>
      <c r="AF54" s="62"/>
      <c r="AI54" s="315"/>
      <c r="AJ54" s="139">
        <v>34700.01</v>
      </c>
      <c r="AK54" s="140"/>
      <c r="AL54" s="116">
        <v>30</v>
      </c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</row>
    <row r="55" spans="17:59" ht="12.75">
      <c r="Q55" s="282" t="s">
        <v>87</v>
      </c>
      <c r="R55" s="282"/>
      <c r="S55" s="84">
        <v>16</v>
      </c>
      <c r="T55" s="282" t="s">
        <v>88</v>
      </c>
      <c r="U55" s="282"/>
      <c r="V55" s="282"/>
      <c r="W55" s="282"/>
      <c r="X55" s="283" t="s">
        <v>89</v>
      </c>
      <c r="Y55" s="283"/>
      <c r="Z55" s="50" t="s">
        <v>79</v>
      </c>
      <c r="AA55" s="51"/>
      <c r="AB55" s="39">
        <f>ROUND(AA54*30%,2)</f>
        <v>0</v>
      </c>
      <c r="AC55" s="2">
        <v>10</v>
      </c>
      <c r="AD55" s="175">
        <f>ROUND(AB55/AC55,2)</f>
        <v>0</v>
      </c>
      <c r="AE55" s="176"/>
      <c r="AF55" s="62"/>
      <c r="AI55" s="315"/>
      <c r="AJ55" s="139">
        <v>35000.01</v>
      </c>
      <c r="AK55" s="140"/>
      <c r="AL55" s="116">
        <v>20</v>
      </c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</row>
    <row r="56" spans="17:59" ht="12.75">
      <c r="Q56" s="57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62"/>
      <c r="AI56" s="315"/>
      <c r="AJ56" s="139">
        <v>35100.01</v>
      </c>
      <c r="AK56" s="140"/>
      <c r="AL56" s="116">
        <v>10</v>
      </c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</row>
    <row r="57" spans="17:59" ht="12.75" customHeight="1" thickBot="1">
      <c r="Q57" s="57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62"/>
      <c r="AI57" s="315"/>
      <c r="AJ57" s="141">
        <v>35200.01</v>
      </c>
      <c r="AK57" s="142"/>
      <c r="AL57" s="117">
        <v>0</v>
      </c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</row>
    <row r="58" spans="17:59" ht="12.75">
      <c r="Q58" s="74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</row>
    <row r="59" spans="35:39" ht="12.75">
      <c r="AI59" t="s">
        <v>46</v>
      </c>
      <c r="AJ59" s="19" t="s">
        <v>47</v>
      </c>
      <c r="AK59" s="171" t="s">
        <v>52</v>
      </c>
      <c r="AL59" s="18" t="s">
        <v>48</v>
      </c>
      <c r="AM59" s="18" t="s">
        <v>53</v>
      </c>
    </row>
    <row r="60" spans="36:39" ht="12.75">
      <c r="AJ60" s="86">
        <v>95000</v>
      </c>
      <c r="AK60" s="171"/>
      <c r="AL60" s="106">
        <v>15000</v>
      </c>
      <c r="AM60" s="106">
        <f>IF(AK61&gt;1,ROUND((AK61-1)*AL60,2)+AJ60,AJ60)</f>
        <v>95000</v>
      </c>
    </row>
    <row r="61" spans="36:41" ht="12.75">
      <c r="AJ61" s="18" t="s">
        <v>55</v>
      </c>
      <c r="AK61" s="87">
        <f>+N_Fgl</f>
        <v>0</v>
      </c>
      <c r="AL61" s="18" t="s">
        <v>54</v>
      </c>
      <c r="AM61" s="18" t="s">
        <v>45</v>
      </c>
      <c r="AN61" s="18"/>
      <c r="AO61" s="18" t="s">
        <v>41</v>
      </c>
    </row>
    <row r="62" spans="35:44" ht="12.75">
      <c r="AI62" t="s">
        <v>51</v>
      </c>
      <c r="AJ62" s="106">
        <f>IF(Som_fg&gt;3,1000,800)</f>
        <v>800</v>
      </c>
      <c r="AL62" s="106">
        <f>ROUND(fgl*VLOOKUP($AO$62,IndRapp,2),2)</f>
        <v>0</v>
      </c>
      <c r="AM62" s="112">
        <v>0</v>
      </c>
      <c r="AN62" s="77">
        <v>0</v>
      </c>
      <c r="AO62" s="83">
        <f>ROUND((ImFisFin-Redd_Detraz)/ImFisFin,6)</f>
        <v>1</v>
      </c>
      <c r="AQ62" s="87">
        <f>+dsfig</f>
        <v>0</v>
      </c>
      <c r="AR62" s="87">
        <f>+AQ62</f>
        <v>0</v>
      </c>
    </row>
    <row r="63" spans="35:44" ht="12.75">
      <c r="AI63" t="s">
        <v>49</v>
      </c>
      <c r="AJ63" s="106">
        <f>IF(Som_fg&gt;3,1100,900)</f>
        <v>900</v>
      </c>
      <c r="AL63" s="106">
        <f>ROUND(AJ63*VLOOKUP($AO$62,IndRapp,2),2)</f>
        <v>0</v>
      </c>
      <c r="AM63" s="113">
        <v>0.0001</v>
      </c>
      <c r="AN63" s="77">
        <f>+AO62</f>
        <v>1</v>
      </c>
      <c r="AQ63" s="87">
        <f>+dsfg3</f>
        <v>0</v>
      </c>
      <c r="AR63" s="87">
        <f>+AQ63</f>
        <v>0</v>
      </c>
    </row>
    <row r="64" spans="35:44" ht="12.75">
      <c r="AI64" t="s">
        <v>50</v>
      </c>
      <c r="AJ64" s="106">
        <v>220</v>
      </c>
      <c r="AL64" s="106">
        <f>ROUND(fglh*VLOOKUP($AO$62,IndRapp,2),2)</f>
        <v>0</v>
      </c>
      <c r="AM64" s="110">
        <v>1</v>
      </c>
      <c r="AN64" s="77">
        <v>0</v>
      </c>
      <c r="AQ64" s="87">
        <f>+dsfhc</f>
        <v>0</v>
      </c>
      <c r="AR64" s="87">
        <f>+AQ64</f>
        <v>0</v>
      </c>
    </row>
    <row r="65" spans="38:40" ht="12.75">
      <c r="AL65" s="85"/>
      <c r="AM65" s="110">
        <v>10</v>
      </c>
      <c r="AN65" s="77">
        <f>+AO62</f>
        <v>1</v>
      </c>
    </row>
    <row r="66" spans="35:38" ht="12.75">
      <c r="AI66" t="s">
        <v>57</v>
      </c>
      <c r="AJ66" s="87">
        <v>750</v>
      </c>
      <c r="AL66" s="106">
        <f>ROUND(Altri*VLOOKUP(AO67,Rapp_Altri,2),4)</f>
        <v>0</v>
      </c>
    </row>
    <row r="67" ht="12.75">
      <c r="AO67" s="83">
        <f>TRUNC((80000-Redd_Detraz)/80000,6)</f>
        <v>1</v>
      </c>
    </row>
    <row r="68" spans="35:41" ht="12.75">
      <c r="AI68" t="s">
        <v>72</v>
      </c>
      <c r="AL68" t="s">
        <v>41</v>
      </c>
      <c r="AN68" s="131">
        <v>0</v>
      </c>
      <c r="AO68" s="87">
        <v>0</v>
      </c>
    </row>
    <row r="69" spans="35:41" ht="12.75">
      <c r="AI69" s="106">
        <v>1</v>
      </c>
      <c r="AJ69" s="106">
        <v>1840</v>
      </c>
      <c r="AL69" s="83">
        <f>IF(ROUND((15000-Redd_Detraz)/7000,6)&gt;0,ROUND((15000-Redd_Detraz)/7000,6),0)</f>
        <v>2.142857</v>
      </c>
      <c r="AN69" s="132">
        <v>0.0001</v>
      </c>
      <c r="AO69" s="133">
        <f>+AO67</f>
        <v>1</v>
      </c>
    </row>
    <row r="70" spans="35:41" ht="12.75">
      <c r="AI70" s="106">
        <v>8000.01</v>
      </c>
      <c r="AJ70" s="106">
        <f>1338+ROUND(502*AL69,2)</f>
        <v>2413.71</v>
      </c>
      <c r="AL70">
        <f>ROUND((55000-Redd_Detraz)/40000,6)</f>
        <v>1.375</v>
      </c>
      <c r="AN70" s="107">
        <v>1</v>
      </c>
      <c r="AO70" s="87">
        <v>0</v>
      </c>
    </row>
    <row r="71" spans="35:41" ht="12.75">
      <c r="AI71" s="106">
        <v>15000.01</v>
      </c>
      <c r="AJ71" s="106">
        <f>ROUND(1338*AL70,2)</f>
        <v>1839.75</v>
      </c>
      <c r="AN71" s="107">
        <v>10</v>
      </c>
      <c r="AO71" s="133">
        <f>+AO67</f>
        <v>1</v>
      </c>
    </row>
    <row r="72" spans="35:41" ht="12.75">
      <c r="AI72" s="106">
        <v>55000.01</v>
      </c>
      <c r="AJ72" s="106">
        <v>0</v>
      </c>
      <c r="AN72" s="12"/>
      <c r="AO72" s="83"/>
    </row>
    <row r="73" spans="35:36" ht="12.75">
      <c r="AI73" s="106">
        <v>100000000</v>
      </c>
      <c r="AJ73" s="106">
        <v>0</v>
      </c>
    </row>
    <row r="75" spans="35:36" ht="12.75">
      <c r="AI75" s="108">
        <v>0</v>
      </c>
      <c r="AJ75" s="87">
        <v>0</v>
      </c>
    </row>
    <row r="76" spans="35:36" ht="12.75">
      <c r="AI76" s="108">
        <v>23000.01</v>
      </c>
      <c r="AJ76" s="87">
        <v>10</v>
      </c>
    </row>
    <row r="77" spans="35:36" ht="12.75">
      <c r="AI77" s="108">
        <v>24000.01</v>
      </c>
      <c r="AJ77" s="87">
        <v>20</v>
      </c>
    </row>
    <row r="78" spans="35:36" ht="12.75">
      <c r="AI78" s="108">
        <v>25000.01</v>
      </c>
      <c r="AJ78" s="87">
        <v>30</v>
      </c>
    </row>
    <row r="79" spans="35:36" ht="12.75">
      <c r="AI79" s="108">
        <v>26000.01</v>
      </c>
      <c r="AJ79" s="87">
        <v>40</v>
      </c>
    </row>
    <row r="80" spans="35:36" ht="12.75">
      <c r="AI80" s="108">
        <v>27700.01</v>
      </c>
      <c r="AJ80" s="87">
        <v>25</v>
      </c>
    </row>
    <row r="81" spans="1:36" ht="12.75">
      <c r="A81" s="4"/>
      <c r="AI81" s="108">
        <v>28000.01</v>
      </c>
      <c r="AJ81" s="87">
        <v>0</v>
      </c>
    </row>
    <row r="111" ht="12.75">
      <c r="A111" s="4" t="s">
        <v>100</v>
      </c>
    </row>
    <row r="124" ht="12.75">
      <c r="A124" s="90"/>
    </row>
  </sheetData>
  <sheetProtection password="BE24" sheet="1" objects="1" scenarios="1" selectLockedCells="1"/>
  <mergeCells count="164">
    <mergeCell ref="O50:P50"/>
    <mergeCell ref="X12:AA12"/>
    <mergeCell ref="H11:K11"/>
    <mergeCell ref="X11:AA11"/>
    <mergeCell ref="O48:P48"/>
    <mergeCell ref="O49:P49"/>
    <mergeCell ref="A37:L37"/>
    <mergeCell ref="A38:L38"/>
    <mergeCell ref="H24:J24"/>
    <mergeCell ref="H12:K12"/>
    <mergeCell ref="E9:G9"/>
    <mergeCell ref="H9:K9"/>
    <mergeCell ref="E10:G10"/>
    <mergeCell ref="H10:K10"/>
    <mergeCell ref="M6:P6"/>
    <mergeCell ref="O47:P47"/>
    <mergeCell ref="A39:L39"/>
    <mergeCell ref="A40:P40"/>
    <mergeCell ref="A41:L41"/>
    <mergeCell ref="A42:P42"/>
    <mergeCell ref="A35:P35"/>
    <mergeCell ref="A36:P36"/>
    <mergeCell ref="E11:G11"/>
    <mergeCell ref="E12:G12"/>
    <mergeCell ref="A43:F43"/>
    <mergeCell ref="I43:L43"/>
    <mergeCell ref="K44:N44"/>
    <mergeCell ref="O46:P46"/>
    <mergeCell ref="A46:N46"/>
    <mergeCell ref="M25:O27"/>
    <mergeCell ref="B24:D24"/>
    <mergeCell ref="E24:G24"/>
    <mergeCell ref="P25:P27"/>
    <mergeCell ref="A33:C33"/>
    <mergeCell ref="K33:O34"/>
    <mergeCell ref="P33:P34"/>
    <mergeCell ref="M28:P29"/>
    <mergeCell ref="E13:G13"/>
    <mergeCell ref="E14:G14"/>
    <mergeCell ref="E15:G15"/>
    <mergeCell ref="H15:K15"/>
    <mergeCell ref="H14:K14"/>
    <mergeCell ref="H13:K13"/>
    <mergeCell ref="E8:G8"/>
    <mergeCell ref="H8:K8"/>
    <mergeCell ref="D5:I5"/>
    <mergeCell ref="J5:L5"/>
    <mergeCell ref="C6:G6"/>
    <mergeCell ref="A7:G7"/>
    <mergeCell ref="H7:L7"/>
    <mergeCell ref="A6:B6"/>
    <mergeCell ref="I6:K6"/>
    <mergeCell ref="N5:P5"/>
    <mergeCell ref="A1:P1"/>
    <mergeCell ref="A2:P2"/>
    <mergeCell ref="A3:P3"/>
    <mergeCell ref="J4:K4"/>
    <mergeCell ref="B4:G4"/>
    <mergeCell ref="Q1:AF1"/>
    <mergeCell ref="Q2:AF2"/>
    <mergeCell ref="AF33:AF34"/>
    <mergeCell ref="U15:W15"/>
    <mergeCell ref="Q7:W7"/>
    <mergeCell ref="Q6:S6"/>
    <mergeCell ref="Q20:AF20"/>
    <mergeCell ref="U10:W10"/>
    <mergeCell ref="U11:W11"/>
    <mergeCell ref="U12:W12"/>
    <mergeCell ref="AH36:AH37"/>
    <mergeCell ref="AH40:AH41"/>
    <mergeCell ref="AI1:AL1"/>
    <mergeCell ref="AI12:AM12"/>
    <mergeCell ref="AI19:AI57"/>
    <mergeCell ref="AJ19:AJ37"/>
    <mergeCell ref="AJ39:AJ42"/>
    <mergeCell ref="Q3:AF3"/>
    <mergeCell ref="T5:Y5"/>
    <mergeCell ref="Z5:AB5"/>
    <mergeCell ref="AK59:AK60"/>
    <mergeCell ref="Q40:AF40"/>
    <mergeCell ref="AA54:AB54"/>
    <mergeCell ref="AE49:AF49"/>
    <mergeCell ref="AE47:AF47"/>
    <mergeCell ref="AA52:AB52"/>
    <mergeCell ref="AD53:AE53"/>
    <mergeCell ref="AD55:AE55"/>
    <mergeCell ref="AD54:AE54"/>
    <mergeCell ref="Q42:AF42"/>
    <mergeCell ref="Q52:T52"/>
    <mergeCell ref="AA53:AB53"/>
    <mergeCell ref="X53:Z53"/>
    <mergeCell ref="U52:W52"/>
    <mergeCell ref="Q53:T53"/>
    <mergeCell ref="Q54:T54"/>
    <mergeCell ref="Q55:R55"/>
    <mergeCell ref="AC25:AE27"/>
    <mergeCell ref="AA33:AE34"/>
    <mergeCell ref="AD52:AE52"/>
    <mergeCell ref="AE48:AF48"/>
    <mergeCell ref="AE46:AF46"/>
    <mergeCell ref="Y43:AB43"/>
    <mergeCell ref="AA44:AD44"/>
    <mergeCell ref="X52:Z52"/>
    <mergeCell ref="Q33:S33"/>
    <mergeCell ref="Q21:S21"/>
    <mergeCell ref="Q43:V43"/>
    <mergeCell ref="Q39:AB39"/>
    <mergeCell ref="Q36:AF36"/>
    <mergeCell ref="AF25:AF27"/>
    <mergeCell ref="R24:T24"/>
    <mergeCell ref="U24:W24"/>
    <mergeCell ref="X24:Z24"/>
    <mergeCell ref="Q35:AF35"/>
    <mergeCell ref="T55:W55"/>
    <mergeCell ref="X55:Y55"/>
    <mergeCell ref="X14:AA14"/>
    <mergeCell ref="U13:W13"/>
    <mergeCell ref="X13:AA13"/>
    <mergeCell ref="X17:AA17"/>
    <mergeCell ref="X54:Z54"/>
    <mergeCell ref="U17:W17"/>
    <mergeCell ref="Q41:AB41"/>
    <mergeCell ref="Q38:AB38"/>
    <mergeCell ref="AU1:AW2"/>
    <mergeCell ref="AU21:AW25"/>
    <mergeCell ref="AU4:AW4"/>
    <mergeCell ref="AU5:AW5"/>
    <mergeCell ref="AU3:AW3"/>
    <mergeCell ref="X15:AA15"/>
    <mergeCell ref="U9:W9"/>
    <mergeCell ref="X7:AB7"/>
    <mergeCell ref="X9:AA9"/>
    <mergeCell ref="X10:AA10"/>
    <mergeCell ref="U8:W8"/>
    <mergeCell ref="X8:AA8"/>
    <mergeCell ref="Z4:AA4"/>
    <mergeCell ref="V6:Z6"/>
    <mergeCell ref="AB6:AC6"/>
    <mergeCell ref="T6:U6"/>
    <mergeCell ref="AD5:AF5"/>
    <mergeCell ref="AU30:AW38"/>
    <mergeCell ref="A15:D15"/>
    <mergeCell ref="A14:D14"/>
    <mergeCell ref="U14:W14"/>
    <mergeCell ref="E17:G17"/>
    <mergeCell ref="A20:P20"/>
    <mergeCell ref="X16:AA16"/>
    <mergeCell ref="A21:C21"/>
    <mergeCell ref="AC16:AD16"/>
    <mergeCell ref="A47:N47"/>
    <mergeCell ref="Q16:T16"/>
    <mergeCell ref="U16:W16"/>
    <mergeCell ref="H17:K17"/>
    <mergeCell ref="H16:K16"/>
    <mergeCell ref="A16:D16"/>
    <mergeCell ref="E16:G16"/>
    <mergeCell ref="H18:K18"/>
    <mergeCell ref="A17:D17"/>
    <mergeCell ref="Q37:AB37"/>
    <mergeCell ref="A48:N48"/>
    <mergeCell ref="A49:N49"/>
    <mergeCell ref="A50:D50"/>
    <mergeCell ref="E50:F50"/>
    <mergeCell ref="K50:N50"/>
  </mergeCells>
  <conditionalFormatting sqref="Z27">
    <cfRule type="expression" priority="1" dxfId="0" stopIfTrue="1">
      <formula>$T$23&gt;2</formula>
    </cfRule>
  </conditionalFormatting>
  <conditionalFormatting sqref="Z28">
    <cfRule type="expression" priority="2" dxfId="0" stopIfTrue="1">
      <formula>$T$23&gt;3</formula>
    </cfRule>
  </conditionalFormatting>
  <conditionalFormatting sqref="Z29">
    <cfRule type="expression" priority="3" dxfId="0" stopIfTrue="1">
      <formula>$T$23&gt;4</formula>
    </cfRule>
  </conditionalFormatting>
  <conditionalFormatting sqref="Z30">
    <cfRule type="expression" priority="4" dxfId="0" stopIfTrue="1">
      <formula>$T$23&gt;5</formula>
    </cfRule>
  </conditionalFormatting>
  <conditionalFormatting sqref="Z31">
    <cfRule type="expression" priority="5" dxfId="0" stopIfTrue="1">
      <formula>$T$23&gt;6</formula>
    </cfRule>
  </conditionalFormatting>
  <conditionalFormatting sqref="AB25">
    <cfRule type="expression" priority="6" dxfId="1" stopIfTrue="1">
      <formula>$T$23&gt;0</formula>
    </cfRule>
  </conditionalFormatting>
  <conditionalFormatting sqref="AB26">
    <cfRule type="expression" priority="7" dxfId="1" stopIfTrue="1">
      <formula>$T$23&gt;1</formula>
    </cfRule>
  </conditionalFormatting>
  <conditionalFormatting sqref="AB27">
    <cfRule type="expression" priority="8" dxfId="1" stopIfTrue="1">
      <formula>$T$23&gt;2</formula>
    </cfRule>
  </conditionalFormatting>
  <conditionalFormatting sqref="AB28">
    <cfRule type="expression" priority="9" dxfId="1" stopIfTrue="1">
      <formula>$T$23&gt;3</formula>
    </cfRule>
  </conditionalFormatting>
  <conditionalFormatting sqref="AB29">
    <cfRule type="expression" priority="10" dxfId="1" stopIfTrue="1">
      <formula>$T$23&gt;4</formula>
    </cfRule>
  </conditionalFormatting>
  <conditionalFormatting sqref="AB30">
    <cfRule type="expression" priority="11" dxfId="1" stopIfTrue="1">
      <formula>$T$23&gt;5</formula>
    </cfRule>
  </conditionalFormatting>
  <conditionalFormatting sqref="AB31">
    <cfRule type="expression" priority="12" dxfId="1" stopIfTrue="1">
      <formula>$T$23&gt;6</formula>
    </cfRule>
  </conditionalFormatting>
  <conditionalFormatting sqref="Q26">
    <cfRule type="expression" priority="13" dxfId="2" stopIfTrue="1">
      <formula>$T$23&gt;1</formula>
    </cfRule>
  </conditionalFormatting>
  <conditionalFormatting sqref="Q25 T25 W25 Z25 G25 D25">
    <cfRule type="expression" priority="14" dxfId="2" stopIfTrue="1">
      <formula>$T$23&gt;0</formula>
    </cfRule>
  </conditionalFormatting>
  <conditionalFormatting sqref="R25 J25:K25">
    <cfRule type="expression" priority="15" dxfId="3" stopIfTrue="1">
      <formula>$T$23&gt;0</formula>
    </cfRule>
  </conditionalFormatting>
  <conditionalFormatting sqref="U25 X25 E25 H25">
    <cfRule type="expression" priority="16" dxfId="4" stopIfTrue="1">
      <formula>$T$23&gt;0</formula>
    </cfRule>
  </conditionalFormatting>
  <conditionalFormatting sqref="Y21">
    <cfRule type="expression" priority="17" dxfId="5" stopIfTrue="1">
      <formula>$T$21="si"</formula>
    </cfRule>
  </conditionalFormatting>
  <conditionalFormatting sqref="AD23 AA25 C25 F25 I25 V25:V31 S25:S31 Y25:Y31">
    <cfRule type="expression" priority="18" dxfId="5" stopIfTrue="1">
      <formula>$T$23&gt;0</formula>
    </cfRule>
  </conditionalFormatting>
  <conditionalFormatting sqref="AF23">
    <cfRule type="expression" priority="19" dxfId="5" stopIfTrue="1">
      <formula>$AD$23&gt;0</formula>
    </cfRule>
  </conditionalFormatting>
  <conditionalFormatting sqref="F26 C26 I26 AA26">
    <cfRule type="expression" priority="20" dxfId="5" stopIfTrue="1">
      <formula>$T$23&gt;1</formula>
    </cfRule>
  </conditionalFormatting>
  <conditionalFormatting sqref="F27 C27 I27 AA27">
    <cfRule type="expression" priority="21" dxfId="5" stopIfTrue="1">
      <formula>$T$23&gt;2</formula>
    </cfRule>
  </conditionalFormatting>
  <conditionalFormatting sqref="F28 C28 I28 AA28">
    <cfRule type="expression" priority="22" dxfId="5" stopIfTrue="1">
      <formula>$T$23&gt;3</formula>
    </cfRule>
  </conditionalFormatting>
  <conditionalFormatting sqref="F29 C29 I29 AA29">
    <cfRule type="expression" priority="23" dxfId="5" stopIfTrue="1">
      <formula>$T$23&gt;4</formula>
    </cfRule>
  </conditionalFormatting>
  <conditionalFormatting sqref="AA30">
    <cfRule type="expression" priority="24" dxfId="5" stopIfTrue="1">
      <formula>$T$23&gt;5</formula>
    </cfRule>
  </conditionalFormatting>
  <conditionalFormatting sqref="AA31">
    <cfRule type="expression" priority="25" dxfId="5" stopIfTrue="1">
      <formula>$T$23&gt;6</formula>
    </cfRule>
  </conditionalFormatting>
  <conditionalFormatting sqref="Y34">
    <cfRule type="expression" priority="26" dxfId="5" stopIfTrue="1">
      <formula>$T$33="si"</formula>
    </cfRule>
  </conditionalFormatting>
  <conditionalFormatting sqref="Y33 AF33:AF34 P33:P34">
    <cfRule type="expression" priority="27" dxfId="5" stopIfTrue="1">
      <formula>$T$33&gt;0</formula>
    </cfRule>
  </conditionalFormatting>
  <conditionalFormatting sqref="AA33:AE34 K33:O34">
    <cfRule type="expression" priority="28" dxfId="1" stopIfTrue="1">
      <formula>$T$33&gt;0</formula>
    </cfRule>
  </conditionalFormatting>
  <conditionalFormatting sqref="R26 T26:U26 W26:X26 Z26 G26:H26 D26:E26 J26:K26">
    <cfRule type="expression" priority="29" dxfId="3" stopIfTrue="1">
      <formula>$T$23&gt;1</formula>
    </cfRule>
  </conditionalFormatting>
  <conditionalFormatting sqref="R27 T27:U27 W27:X27 G27:H27 D27:E27 J27:K27">
    <cfRule type="expression" priority="30" dxfId="3" stopIfTrue="1">
      <formula>$T$23&gt;2</formula>
    </cfRule>
  </conditionalFormatting>
  <conditionalFormatting sqref="Q27">
    <cfRule type="expression" priority="31" dxfId="2" stopIfTrue="1">
      <formula>$T$23&gt;2</formula>
    </cfRule>
  </conditionalFormatting>
  <conditionalFormatting sqref="Q28">
    <cfRule type="expression" priority="32" dxfId="2" stopIfTrue="1">
      <formula>$T$23&gt;3</formula>
    </cfRule>
  </conditionalFormatting>
  <conditionalFormatting sqref="R28 T28:U28 W28:X28 G28:H28 D28:E28 J28:K28">
    <cfRule type="expression" priority="33" dxfId="3" stopIfTrue="1">
      <formula>$T$23&gt;3</formula>
    </cfRule>
  </conditionalFormatting>
  <conditionalFormatting sqref="Q29">
    <cfRule type="expression" priority="34" dxfId="2" stopIfTrue="1">
      <formula>$T$23&gt;4</formula>
    </cfRule>
  </conditionalFormatting>
  <conditionalFormatting sqref="R29 T29:U29 W29:X29 G29:H29 D29:E29 J29:K29">
    <cfRule type="expression" priority="35" dxfId="3" stopIfTrue="1">
      <formula>$T$23&gt;4</formula>
    </cfRule>
  </conditionalFormatting>
  <conditionalFormatting sqref="Q30">
    <cfRule type="expression" priority="36" dxfId="2" stopIfTrue="1">
      <formula>$T$23&gt;5</formula>
    </cfRule>
  </conditionalFormatting>
  <conditionalFormatting sqref="R30 T30:U30 W30:X30">
    <cfRule type="expression" priority="37" dxfId="3" stopIfTrue="1">
      <formula>$T$23&gt;5</formula>
    </cfRule>
  </conditionalFormatting>
  <conditionalFormatting sqref="Q31">
    <cfRule type="expression" priority="38" dxfId="2" stopIfTrue="1">
      <formula>$T$23&gt;6</formula>
    </cfRule>
  </conditionalFormatting>
  <conditionalFormatting sqref="R31 T31:U31 W31:X31">
    <cfRule type="expression" priority="39" dxfId="3" stopIfTrue="1">
      <formula>$T$23&gt;6</formula>
    </cfRule>
  </conditionalFormatting>
  <conditionalFormatting sqref="L25">
    <cfRule type="expression" priority="40" dxfId="1" stopIfTrue="1">
      <formula>$D$23&gt;0</formula>
    </cfRule>
  </conditionalFormatting>
  <conditionalFormatting sqref="N23">
    <cfRule type="expression" priority="41" dxfId="5" stopIfTrue="1">
      <formula>$D$23&gt;0</formula>
    </cfRule>
  </conditionalFormatting>
  <conditionalFormatting sqref="C30 F30 I30">
    <cfRule type="expression" priority="42" dxfId="5" stopIfTrue="1">
      <formula>$D$23&gt;5</formula>
    </cfRule>
  </conditionalFormatting>
  <conditionalFormatting sqref="C31 F31 I31">
    <cfRule type="expression" priority="43" dxfId="5" stopIfTrue="1">
      <formula>$D$23&gt;6</formula>
    </cfRule>
  </conditionalFormatting>
  <conditionalFormatting sqref="I34">
    <cfRule type="expression" priority="44" dxfId="5" stopIfTrue="1">
      <formula>$D$33="si"</formula>
    </cfRule>
  </conditionalFormatting>
  <conditionalFormatting sqref="A30">
    <cfRule type="expression" priority="45" dxfId="2" stopIfTrue="1">
      <formula>$D$23&gt;5</formula>
    </cfRule>
  </conditionalFormatting>
  <conditionalFormatting sqref="G30:H30 D30:E30 B30 J30:K30">
    <cfRule type="expression" priority="46" dxfId="3" stopIfTrue="1">
      <formula>$D$23&gt;5</formula>
    </cfRule>
  </conditionalFormatting>
  <conditionalFormatting sqref="A31">
    <cfRule type="expression" priority="47" dxfId="2" stopIfTrue="1">
      <formula>$D$23&gt;6</formula>
    </cfRule>
  </conditionalFormatting>
  <conditionalFormatting sqref="G31:H31 D31:E31 B31 J31:K31">
    <cfRule type="expression" priority="48" dxfId="3" stopIfTrue="1">
      <formula>$D$23&gt;6</formula>
    </cfRule>
  </conditionalFormatting>
  <conditionalFormatting sqref="A26">
    <cfRule type="expression" priority="49" dxfId="2" stopIfTrue="1">
      <formula>$D$23&gt;1</formula>
    </cfRule>
  </conditionalFormatting>
  <conditionalFormatting sqref="A25">
    <cfRule type="expression" priority="50" dxfId="2" stopIfTrue="1">
      <formula>$D$23&gt;0</formula>
    </cfRule>
  </conditionalFormatting>
  <conditionalFormatting sqref="B25">
    <cfRule type="expression" priority="51" dxfId="3" stopIfTrue="1">
      <formula>$D$23&gt;0</formula>
    </cfRule>
  </conditionalFormatting>
  <conditionalFormatting sqref="B26">
    <cfRule type="expression" priority="52" dxfId="3" stopIfTrue="1">
      <formula>$D$23&gt;1</formula>
    </cfRule>
  </conditionalFormatting>
  <conditionalFormatting sqref="B27">
    <cfRule type="expression" priority="53" dxfId="3" stopIfTrue="1">
      <formula>$D$23&gt;2</formula>
    </cfRule>
  </conditionalFormatting>
  <conditionalFormatting sqref="A27">
    <cfRule type="expression" priority="54" dxfId="2" stopIfTrue="1">
      <formula>$D$23&gt;2</formula>
    </cfRule>
  </conditionalFormatting>
  <conditionalFormatting sqref="A28">
    <cfRule type="expression" priority="55" dxfId="2" stopIfTrue="1">
      <formula>$D$23&gt;3</formula>
    </cfRule>
  </conditionalFormatting>
  <conditionalFormatting sqref="B28">
    <cfRule type="expression" priority="56" dxfId="3" stopIfTrue="1">
      <formula>$D$23&gt;3</formula>
    </cfRule>
  </conditionalFormatting>
  <conditionalFormatting sqref="A29">
    <cfRule type="expression" priority="57" dxfId="2" stopIfTrue="1">
      <formula>$D$23&gt;4</formula>
    </cfRule>
  </conditionalFormatting>
  <conditionalFormatting sqref="B29">
    <cfRule type="expression" priority="58" dxfId="3" stopIfTrue="1">
      <formula>$D$23&gt;4</formula>
    </cfRule>
  </conditionalFormatting>
  <conditionalFormatting sqref="L27">
    <cfRule type="expression" priority="59" dxfId="1" stopIfTrue="1">
      <formula>$D$23&gt;2</formula>
    </cfRule>
  </conditionalFormatting>
  <conditionalFormatting sqref="L28">
    <cfRule type="expression" priority="60" dxfId="1" stopIfTrue="1">
      <formula>$D$23&gt;3</formula>
    </cfRule>
  </conditionalFormatting>
  <conditionalFormatting sqref="L29">
    <cfRule type="expression" priority="61" dxfId="1" stopIfTrue="1">
      <formula>$D$23&gt;4</formula>
    </cfRule>
  </conditionalFormatting>
  <conditionalFormatting sqref="L30">
    <cfRule type="expression" priority="62" dxfId="1" stopIfTrue="1">
      <formula>$D$23&gt;5</formula>
    </cfRule>
  </conditionalFormatting>
  <conditionalFormatting sqref="L31">
    <cfRule type="expression" priority="63" dxfId="1" stopIfTrue="1">
      <formula>$D$23&gt;6</formula>
    </cfRule>
  </conditionalFormatting>
  <conditionalFormatting sqref="L26">
    <cfRule type="expression" priority="64" dxfId="1" stopIfTrue="1">
      <formula>$D$23&gt;1</formula>
    </cfRule>
  </conditionalFormatting>
  <printOptions/>
  <pageMargins left="0.1968503937007874" right="0" top="0.984251968503937" bottom="0.5905511811023623" header="0.5118110236220472" footer="0.5118110236220472"/>
  <pageSetup blackAndWhite="1" horizontalDpi="360" verticalDpi="360" orientation="portrait" paperSize="9" scale="9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25"/>
  <dimension ref="A1:BG124"/>
  <sheetViews>
    <sheetView workbookViewId="0" topLeftCell="A1">
      <selection activeCell="E8" sqref="E8:G8"/>
    </sheetView>
  </sheetViews>
  <sheetFormatPr defaultColWidth="9.33203125" defaultRowHeight="12.75"/>
  <cols>
    <col min="1" max="1" width="15.5" style="0" customWidth="1"/>
    <col min="2" max="10" width="4.83203125" style="0" customWidth="1"/>
    <col min="11" max="11" width="11.66015625" style="0" bestFit="1" customWidth="1"/>
    <col min="12" max="13" width="11.83203125" style="0" customWidth="1"/>
    <col min="14" max="14" width="4.83203125" style="0" customWidth="1"/>
    <col min="15" max="15" width="12.83203125" style="0" customWidth="1"/>
    <col min="16" max="16" width="9.16015625" style="0" customWidth="1"/>
    <col min="17" max="17" width="15.5" style="0" hidden="1" customWidth="1"/>
    <col min="18" max="26" width="4.83203125" style="0" hidden="1" customWidth="1"/>
    <col min="27" max="27" width="11.66015625" style="0" hidden="1" customWidth="1"/>
    <col min="28" max="29" width="11.83203125" style="0" hidden="1" customWidth="1"/>
    <col min="30" max="30" width="4.83203125" style="0" hidden="1" customWidth="1"/>
    <col min="31" max="31" width="12.83203125" style="0" hidden="1" customWidth="1"/>
    <col min="32" max="32" width="11" style="0" hidden="1" customWidth="1"/>
    <col min="33" max="33" width="5.16015625" style="0" hidden="1" customWidth="1"/>
    <col min="34" max="34" width="10.5" style="0" hidden="1" customWidth="1"/>
    <col min="35" max="35" width="15.16015625" style="0" hidden="1" customWidth="1"/>
    <col min="36" max="36" width="16.83203125" style="0" hidden="1" customWidth="1"/>
    <col min="37" max="37" width="6.66015625" style="0" hidden="1" customWidth="1"/>
    <col min="38" max="38" width="12.83203125" style="0" hidden="1" customWidth="1"/>
    <col min="39" max="39" width="11.5" style="0" hidden="1" customWidth="1"/>
    <col min="40" max="45" width="0" style="0" hidden="1" customWidth="1"/>
    <col min="46" max="46" width="3.66015625" style="0" customWidth="1"/>
    <col min="49" max="49" width="13.66015625" style="0" customWidth="1"/>
  </cols>
  <sheetData>
    <row r="1" spans="1:59" ht="16.5" thickTop="1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3"/>
      <c r="Q1" s="201" t="s">
        <v>0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3"/>
      <c r="AI1" s="185" t="s">
        <v>29</v>
      </c>
      <c r="AJ1" s="185"/>
      <c r="AK1" s="185"/>
      <c r="AL1" s="185"/>
      <c r="AM1" s="135" t="s">
        <v>68</v>
      </c>
      <c r="AT1" s="77"/>
      <c r="AU1" s="247" t="s">
        <v>84</v>
      </c>
      <c r="AV1" s="248"/>
      <c r="AW1" s="249"/>
      <c r="AX1" s="77"/>
      <c r="AY1" s="77"/>
      <c r="AZ1" s="77"/>
      <c r="BA1" s="77"/>
      <c r="BB1" s="77"/>
      <c r="BC1" s="77"/>
      <c r="BD1" s="77"/>
      <c r="BE1" s="77"/>
      <c r="BF1" s="77"/>
      <c r="BG1" s="77"/>
    </row>
    <row r="2" spans="1:59" ht="15.75">
      <c r="A2" s="350" t="str">
        <f>+Gen!A2</f>
        <v>TRIBUNALE DI TERMINI IMERESE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2"/>
      <c r="Q2" s="204" t="s">
        <v>1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6"/>
      <c r="AI2" s="5" t="s">
        <v>30</v>
      </c>
      <c r="AJ2" s="5" t="s">
        <v>31</v>
      </c>
      <c r="AK2" s="6" t="s">
        <v>18</v>
      </c>
      <c r="AL2" s="5" t="s">
        <v>37</v>
      </c>
      <c r="AN2" s="134"/>
      <c r="AT2" s="77"/>
      <c r="AU2" s="250"/>
      <c r="AV2" s="251"/>
      <c r="AW2" s="252"/>
      <c r="AX2" s="77"/>
      <c r="AY2" s="77"/>
      <c r="AZ2" s="77"/>
      <c r="BA2" s="77"/>
      <c r="BB2" s="77"/>
      <c r="BC2" s="77"/>
      <c r="BD2" s="77"/>
      <c r="BE2" s="77"/>
      <c r="BF2" s="77"/>
      <c r="BG2" s="77"/>
    </row>
    <row r="3" spans="1:59" ht="15.75">
      <c r="A3" s="207" t="s">
        <v>110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9"/>
      <c r="Q3" s="207" t="s">
        <v>85</v>
      </c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9"/>
      <c r="AI3" s="7">
        <v>1</v>
      </c>
      <c r="AJ3" s="7">
        <f>+Aliquote!C6</f>
        <v>15000</v>
      </c>
      <c r="AK3" s="8">
        <f>+Aliquote!D6</f>
        <v>0.23</v>
      </c>
      <c r="AL3" s="9"/>
      <c r="AT3" s="77"/>
      <c r="AU3" s="268"/>
      <c r="AV3" s="269"/>
      <c r="AW3" s="270"/>
      <c r="AX3" s="77"/>
      <c r="AY3" s="77"/>
      <c r="AZ3" s="77"/>
      <c r="BA3" s="77"/>
      <c r="BB3" s="77"/>
      <c r="BC3" s="77"/>
      <c r="BD3" s="77"/>
      <c r="BE3" s="77"/>
      <c r="BF3" s="77"/>
      <c r="BG3" s="77"/>
    </row>
    <row r="4" spans="1:59" ht="12.75" customHeight="1">
      <c r="A4" s="150" t="s">
        <v>138</v>
      </c>
      <c r="B4" s="163" t="str">
        <f>IF(Gen!B4&gt;0,Gen!B4,Vuota1)</f>
        <v>        </v>
      </c>
      <c r="C4" s="154"/>
      <c r="D4" s="154"/>
      <c r="E4" s="154"/>
      <c r="F4" s="154"/>
      <c r="G4" s="164"/>
      <c r="H4" s="58"/>
      <c r="I4" s="58"/>
      <c r="J4" s="345" t="s">
        <v>122</v>
      </c>
      <c r="K4" s="346"/>
      <c r="L4" s="149">
        <f>IF(Gen!L4&gt;0,Gen!L4,Vuota1)</f>
        <v>2007</v>
      </c>
      <c r="M4" s="20"/>
      <c r="N4" s="58"/>
      <c r="O4" s="58"/>
      <c r="P4" s="33"/>
      <c r="Q4" s="20"/>
      <c r="R4" s="58"/>
      <c r="S4" s="58"/>
      <c r="T4" s="58"/>
      <c r="U4" s="58"/>
      <c r="V4" s="58"/>
      <c r="W4" s="58"/>
      <c r="X4" s="58"/>
      <c r="Y4" s="58"/>
      <c r="Z4" s="213" t="s">
        <v>2</v>
      </c>
      <c r="AA4" s="213"/>
      <c r="AB4" s="2">
        <v>2007</v>
      </c>
      <c r="AC4" s="20"/>
      <c r="AD4" s="58"/>
      <c r="AE4" s="58"/>
      <c r="AF4" s="33"/>
      <c r="AI4" s="7">
        <f>+AJ3+0.01</f>
        <v>15000.01</v>
      </c>
      <c r="AJ4" s="7">
        <f>+Aliquote!C7</f>
        <v>28000</v>
      </c>
      <c r="AK4" s="8">
        <f>+Aliquote!D7</f>
        <v>0.27</v>
      </c>
      <c r="AL4" s="7">
        <f>ROUND(AI4*AK3,2)</f>
        <v>3450</v>
      </c>
      <c r="AT4" s="77"/>
      <c r="AU4" s="262" t="s">
        <v>81</v>
      </c>
      <c r="AV4" s="263"/>
      <c r="AW4" s="264"/>
      <c r="AX4" s="77"/>
      <c r="AY4" s="77"/>
      <c r="AZ4" s="77"/>
      <c r="BA4" s="77"/>
      <c r="BB4" s="77"/>
      <c r="BC4" s="77"/>
      <c r="BD4" s="77"/>
      <c r="BE4" s="77"/>
      <c r="BF4" s="77"/>
      <c r="BG4" s="77"/>
    </row>
    <row r="5" spans="1:59" ht="16.5" thickBot="1">
      <c r="A5" s="59" t="s">
        <v>3</v>
      </c>
      <c r="B5" s="60"/>
      <c r="C5" s="52" t="str">
        <f>IF(Gen!C5&gt;0,Gen!C5,Vuota1)</f>
        <v>C1</v>
      </c>
      <c r="D5" s="347" t="str">
        <f>IF(Gen!D5&gt;0,Gen!D5,Vuota1)</f>
        <v>        </v>
      </c>
      <c r="E5" s="348" t="e">
        <f>IF(#REF!&gt;0,#REF!,Vuota1)</f>
        <v>#REF!</v>
      </c>
      <c r="F5" s="348" t="e">
        <f>IF(#REF!&gt;0,#REF!,Vuota1)</f>
        <v>#REF!</v>
      </c>
      <c r="G5" s="348" t="e">
        <f>IF(#REF!&gt;0,#REF!,Vuota1)</f>
        <v>#REF!</v>
      </c>
      <c r="H5" s="348" t="e">
        <f>IF(#REF!&gt;0,#REF!,Vuota1)</f>
        <v>#REF!</v>
      </c>
      <c r="I5" s="348" t="e">
        <f>IF(#REF!&gt;0,#REF!,Vuota1)</f>
        <v>#REF!</v>
      </c>
      <c r="J5" s="348" t="str">
        <f>IF(Gen!J5&gt;0,Gen!J5,Vuota1)</f>
        <v>        </v>
      </c>
      <c r="K5" s="348" t="e">
        <f>IF(#REF!&gt;0,#REF!,Vuota1)</f>
        <v>#REF!</v>
      </c>
      <c r="L5" s="349" t="e">
        <f>IF(#REF!&gt;0,#REF!,Vuota1)</f>
        <v>#REF!</v>
      </c>
      <c r="M5" s="61" t="s">
        <v>5</v>
      </c>
      <c r="N5" s="163" t="str">
        <f>IF(Gen!N5&gt;0,Gen!N5,Vuota1)</f>
        <v>        </v>
      </c>
      <c r="O5" s="154" t="e">
        <f>IF(#REF!&gt;0,#REF!,Vuota1)</f>
        <v>#REF!</v>
      </c>
      <c r="P5" s="164" t="e">
        <f>IF(#REF!&gt;0,#REF!,Vuota1)</f>
        <v>#REF!</v>
      </c>
      <c r="Q5" s="59" t="s">
        <v>3</v>
      </c>
      <c r="R5" s="60"/>
      <c r="S5" s="2" t="s">
        <v>4</v>
      </c>
      <c r="T5" s="211"/>
      <c r="U5" s="211"/>
      <c r="V5" s="211"/>
      <c r="W5" s="211"/>
      <c r="X5" s="211"/>
      <c r="Y5" s="211"/>
      <c r="Z5" s="211"/>
      <c r="AA5" s="211"/>
      <c r="AB5" s="313"/>
      <c r="AC5" s="61" t="s">
        <v>5</v>
      </c>
      <c r="AD5" s="214"/>
      <c r="AE5" s="215"/>
      <c r="AF5" s="216"/>
      <c r="AH5" s="21"/>
      <c r="AI5" s="7">
        <f>+AJ4+0.01</f>
        <v>28000.01</v>
      </c>
      <c r="AJ5" s="7">
        <f>+Aliquote!C8</f>
        <v>55000</v>
      </c>
      <c r="AK5" s="8">
        <f>+Aliquote!D8</f>
        <v>0.38</v>
      </c>
      <c r="AL5" s="7">
        <f>ROUND((AI5-AI4)*AK4,2)+AL4</f>
        <v>6960</v>
      </c>
      <c r="AT5" s="77"/>
      <c r="AU5" s="265" t="s">
        <v>82</v>
      </c>
      <c r="AV5" s="266"/>
      <c r="AW5" s="267"/>
      <c r="AX5" s="77"/>
      <c r="AY5" s="77"/>
      <c r="AZ5" s="77"/>
      <c r="BA5" s="77"/>
      <c r="BB5" s="77"/>
      <c r="BC5" s="77"/>
      <c r="BD5" s="77"/>
      <c r="BE5" s="77"/>
      <c r="BF5" s="77"/>
      <c r="BG5" s="77"/>
    </row>
    <row r="6" spans="1:59" ht="12.75" customHeight="1" thickTop="1">
      <c r="A6" s="271" t="s">
        <v>6</v>
      </c>
      <c r="B6" s="272"/>
      <c r="C6" s="163" t="str">
        <f>IF(Gen!C6&gt;0,Gen!C6,Vuota1)</f>
        <v>        </v>
      </c>
      <c r="D6" s="213" t="e">
        <f>IF(#REF!&gt;0,#REF!,Vuota1)</f>
        <v>#REF!</v>
      </c>
      <c r="E6" s="213" t="e">
        <f>IF(#REF!&gt;0,#REF!,Vuota1)</f>
        <v>#REF!</v>
      </c>
      <c r="F6" s="213" t="e">
        <f>IF(#REF!&gt;0,#REF!,Vuota1)</f>
        <v>#REF!</v>
      </c>
      <c r="G6" s="359" t="e">
        <f>IF(#REF!&gt;0,#REF!,Vuota1)</f>
        <v>#REF!</v>
      </c>
      <c r="H6" s="60" t="s">
        <v>7</v>
      </c>
      <c r="I6" s="353" t="str">
        <f>IF(Gen!I6&gt;0,Gen!I6,Vuota1)</f>
        <v>        </v>
      </c>
      <c r="J6" s="354" t="e">
        <f>IF(#REF!&gt;0,#REF!,Vuota1)</f>
        <v>#REF!</v>
      </c>
      <c r="K6" s="355" t="e">
        <f>IF(#REF!&gt;0,#REF!,Vuota1)</f>
        <v>#REF!</v>
      </c>
      <c r="L6" s="48" t="s">
        <v>90</v>
      </c>
      <c r="M6" s="356" t="str">
        <f>IF(Gen!M6&gt;0,Gen!M6,Vuota1)</f>
        <v>        </v>
      </c>
      <c r="N6" s="357" t="e">
        <f>IF(#REF!&gt;0,#REF!,Vuota1)</f>
        <v>#REF!</v>
      </c>
      <c r="O6" s="357" t="e">
        <f>IF(#REF!&gt;0,#REF!,Vuota1)</f>
        <v>#REF!</v>
      </c>
      <c r="P6" s="358" t="e">
        <f>IF(#REF!&gt;0,#REF!,Vuota1)</f>
        <v>#REF!</v>
      </c>
      <c r="Q6" s="317"/>
      <c r="R6" s="318"/>
      <c r="S6" s="318"/>
      <c r="T6" s="302" t="s">
        <v>6</v>
      </c>
      <c r="U6" s="302"/>
      <c r="V6" s="214"/>
      <c r="W6" s="215"/>
      <c r="X6" s="215"/>
      <c r="Y6" s="215"/>
      <c r="Z6" s="216"/>
      <c r="AA6" s="60" t="s">
        <v>7</v>
      </c>
      <c r="AB6" s="300"/>
      <c r="AC6" s="301"/>
      <c r="AD6" s="20"/>
      <c r="AE6" s="20"/>
      <c r="AF6" s="62"/>
      <c r="AH6" s="21"/>
      <c r="AI6" s="7">
        <f>+AJ5+0.01</f>
        <v>55000.01</v>
      </c>
      <c r="AJ6" s="7">
        <f>+Aliquote!C9</f>
        <v>75000</v>
      </c>
      <c r="AK6" s="8">
        <f>+Aliquote!D9</f>
        <v>0.41</v>
      </c>
      <c r="AL6" s="7">
        <f>ROUND((AI6-AI5)*AK5,2)+AL5</f>
        <v>17220</v>
      </c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</row>
    <row r="7" spans="1:59" ht="12.75" customHeight="1">
      <c r="A7" s="239" t="s">
        <v>8</v>
      </c>
      <c r="B7" s="240"/>
      <c r="C7" s="240"/>
      <c r="D7" s="240"/>
      <c r="E7" s="240"/>
      <c r="F7" s="240"/>
      <c r="G7" s="240"/>
      <c r="H7" s="158" t="s">
        <v>9</v>
      </c>
      <c r="I7" s="158"/>
      <c r="J7" s="158"/>
      <c r="K7" s="158"/>
      <c r="L7" s="158"/>
      <c r="M7" s="20"/>
      <c r="N7" s="20"/>
      <c r="O7" s="20"/>
      <c r="P7" s="62"/>
      <c r="Q7" s="239" t="s">
        <v>8</v>
      </c>
      <c r="R7" s="240"/>
      <c r="S7" s="240"/>
      <c r="T7" s="240"/>
      <c r="U7" s="240"/>
      <c r="V7" s="240"/>
      <c r="W7" s="240"/>
      <c r="X7" s="158" t="s">
        <v>9</v>
      </c>
      <c r="Y7" s="158"/>
      <c r="Z7" s="158"/>
      <c r="AA7" s="158"/>
      <c r="AB7" s="158"/>
      <c r="AC7" s="20"/>
      <c r="AD7" s="20"/>
      <c r="AE7" s="20"/>
      <c r="AF7" s="62"/>
      <c r="AH7" s="21"/>
      <c r="AI7" s="7">
        <f>+AJ6+0.01</f>
        <v>75000.01</v>
      </c>
      <c r="AJ7" s="7">
        <v>1000000</v>
      </c>
      <c r="AK7" s="8">
        <f>+Aliquote!D10</f>
        <v>0.43</v>
      </c>
      <c r="AL7" s="7">
        <f>ROUND((AI7-AI6)*AK6,2)+AL6</f>
        <v>25420</v>
      </c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</row>
    <row r="8" spans="1:59" ht="12.75">
      <c r="A8" s="27" t="s">
        <v>78</v>
      </c>
      <c r="B8" s="29"/>
      <c r="C8" s="29"/>
      <c r="D8" s="23"/>
      <c r="E8" s="195"/>
      <c r="F8" s="196"/>
      <c r="G8" s="197"/>
      <c r="H8" s="273" t="s">
        <v>10</v>
      </c>
      <c r="I8" s="274"/>
      <c r="J8" s="274"/>
      <c r="K8" s="275"/>
      <c r="L8" s="1"/>
      <c r="M8" s="20"/>
      <c r="N8" s="20"/>
      <c r="O8" s="20"/>
      <c r="P8" s="62"/>
      <c r="Q8" s="27" t="s">
        <v>78</v>
      </c>
      <c r="R8" s="29"/>
      <c r="S8" s="29"/>
      <c r="T8" s="23"/>
      <c r="U8" s="195">
        <f aca="true" t="shared" si="0" ref="U8:U15">ROUND(E8*13,5)</f>
        <v>0</v>
      </c>
      <c r="V8" s="196"/>
      <c r="W8" s="197"/>
      <c r="X8" s="273" t="s">
        <v>10</v>
      </c>
      <c r="Y8" s="274"/>
      <c r="Z8" s="274"/>
      <c r="AA8" s="275"/>
      <c r="AB8" s="1">
        <f aca="true" t="shared" si="1" ref="AB8:AB17">ROUND(L8*13,5)</f>
        <v>0</v>
      </c>
      <c r="AC8" s="20"/>
      <c r="AD8" s="20"/>
      <c r="AE8" s="20"/>
      <c r="AF8" s="62"/>
      <c r="AH8" s="21"/>
      <c r="AI8" s="7">
        <f>+AJ7+0.01</f>
        <v>1000000.01</v>
      </c>
      <c r="AJ8" s="10">
        <v>2000000</v>
      </c>
      <c r="AK8" s="11">
        <f>+AK7</f>
        <v>0.43</v>
      </c>
      <c r="AL8" s="10">
        <f>ROUND((AI8-AI7)*AK7,2)+AL7</f>
        <v>423170</v>
      </c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</row>
    <row r="9" spans="1:59" ht="12.75">
      <c r="A9" s="27" t="s">
        <v>11</v>
      </c>
      <c r="B9" s="29"/>
      <c r="C9" s="29"/>
      <c r="D9" s="23"/>
      <c r="E9" s="195"/>
      <c r="F9" s="196"/>
      <c r="G9" s="197"/>
      <c r="H9" s="198" t="s">
        <v>111</v>
      </c>
      <c r="I9" s="199"/>
      <c r="J9" s="199"/>
      <c r="K9" s="200"/>
      <c r="L9" s="1"/>
      <c r="M9" s="20"/>
      <c r="N9" s="20"/>
      <c r="O9" s="20"/>
      <c r="P9" s="62"/>
      <c r="Q9" s="27" t="s">
        <v>11</v>
      </c>
      <c r="R9" s="29"/>
      <c r="S9" s="29"/>
      <c r="T9" s="23"/>
      <c r="U9" s="195">
        <f t="shared" si="0"/>
        <v>0</v>
      </c>
      <c r="V9" s="196"/>
      <c r="W9" s="197"/>
      <c r="X9" s="198" t="s">
        <v>111</v>
      </c>
      <c r="Y9" s="199"/>
      <c r="Z9" s="199"/>
      <c r="AA9" s="200"/>
      <c r="AB9" s="1">
        <f t="shared" si="1"/>
        <v>0</v>
      </c>
      <c r="AC9" s="20"/>
      <c r="AD9" s="20"/>
      <c r="AE9" s="25" t="s">
        <v>117</v>
      </c>
      <c r="AF9" s="62"/>
      <c r="AH9" s="22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</row>
    <row r="10" spans="1:59" ht="12.75">
      <c r="A10" s="27" t="s">
        <v>12</v>
      </c>
      <c r="B10" s="29"/>
      <c r="C10" s="29"/>
      <c r="D10" s="23"/>
      <c r="E10" s="195"/>
      <c r="F10" s="196"/>
      <c r="G10" s="197"/>
      <c r="H10" s="198" t="s">
        <v>112</v>
      </c>
      <c r="I10" s="199"/>
      <c r="J10" s="199"/>
      <c r="K10" s="200"/>
      <c r="L10" s="1"/>
      <c r="M10" s="20"/>
      <c r="N10" s="20"/>
      <c r="O10" s="20"/>
      <c r="P10" s="62"/>
      <c r="Q10" s="27" t="s">
        <v>12</v>
      </c>
      <c r="R10" s="29"/>
      <c r="S10" s="29"/>
      <c r="T10" s="23"/>
      <c r="U10" s="195">
        <f t="shared" si="0"/>
        <v>0</v>
      </c>
      <c r="V10" s="196"/>
      <c r="W10" s="197"/>
      <c r="X10" s="198" t="s">
        <v>112</v>
      </c>
      <c r="Y10" s="199"/>
      <c r="Z10" s="199"/>
      <c r="AA10" s="200"/>
      <c r="AB10" s="1">
        <f t="shared" si="1"/>
        <v>0</v>
      </c>
      <c r="AC10" s="20"/>
      <c r="AD10" s="20"/>
      <c r="AE10" s="145">
        <f>+Lordo-U12</f>
        <v>0</v>
      </c>
      <c r="AF10" s="62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</row>
    <row r="11" spans="1:59" ht="12.75">
      <c r="A11" s="27" t="s">
        <v>14</v>
      </c>
      <c r="B11" s="29"/>
      <c r="C11" s="29"/>
      <c r="D11" s="29"/>
      <c r="E11" s="195"/>
      <c r="F11" s="196"/>
      <c r="G11" s="197"/>
      <c r="H11" s="198" t="s">
        <v>113</v>
      </c>
      <c r="I11" s="199"/>
      <c r="J11" s="199"/>
      <c r="K11" s="200"/>
      <c r="L11" s="143">
        <f>ROUND((E10+E11)*(Aliquote!H9),2)</f>
        <v>0</v>
      </c>
      <c r="M11" s="20"/>
      <c r="N11" s="20"/>
      <c r="O11" s="20"/>
      <c r="P11" s="62"/>
      <c r="Q11" s="27" t="s">
        <v>14</v>
      </c>
      <c r="R11" s="29"/>
      <c r="S11" s="29"/>
      <c r="T11" s="29"/>
      <c r="U11" s="195">
        <f t="shared" si="0"/>
        <v>0</v>
      </c>
      <c r="V11" s="196"/>
      <c r="W11" s="197"/>
      <c r="X11" s="198" t="s">
        <v>113</v>
      </c>
      <c r="Y11" s="199"/>
      <c r="Z11" s="199"/>
      <c r="AA11" s="200"/>
      <c r="AB11" s="143">
        <f t="shared" si="1"/>
        <v>0</v>
      </c>
      <c r="AC11" s="20"/>
      <c r="AD11" s="20"/>
      <c r="AE11" s="20"/>
      <c r="AF11" s="62"/>
      <c r="AH11" s="85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</row>
    <row r="12" spans="1:59" ht="12.75">
      <c r="A12" s="27"/>
      <c r="B12" s="29"/>
      <c r="C12" s="29"/>
      <c r="D12" s="23"/>
      <c r="E12" s="404"/>
      <c r="F12" s="405"/>
      <c r="G12" s="406"/>
      <c r="H12" s="198" t="s">
        <v>114</v>
      </c>
      <c r="I12" s="199"/>
      <c r="J12" s="199"/>
      <c r="K12" s="200"/>
      <c r="L12" s="144">
        <f>ROUND((E10+E11)*(Aliquote!I9),2)</f>
        <v>0</v>
      </c>
      <c r="M12" s="20"/>
      <c r="N12" s="20"/>
      <c r="O12" s="20"/>
      <c r="P12" s="62"/>
      <c r="Q12" s="27" t="s">
        <v>16</v>
      </c>
      <c r="R12" s="29"/>
      <c r="S12" s="29"/>
      <c r="T12" s="23"/>
      <c r="U12" s="195">
        <f t="shared" si="0"/>
        <v>0</v>
      </c>
      <c r="V12" s="196"/>
      <c r="W12" s="197"/>
      <c r="X12" s="198" t="s">
        <v>114</v>
      </c>
      <c r="Y12" s="199"/>
      <c r="Z12" s="199"/>
      <c r="AA12" s="200"/>
      <c r="AB12" s="143">
        <f t="shared" si="1"/>
        <v>0</v>
      </c>
      <c r="AC12" s="91"/>
      <c r="AD12" s="20"/>
      <c r="AE12" s="20"/>
      <c r="AF12" s="62"/>
      <c r="AH12" s="85"/>
      <c r="AI12" s="186" t="s">
        <v>32</v>
      </c>
      <c r="AJ12" s="186"/>
      <c r="AK12" s="186"/>
      <c r="AL12" s="186"/>
      <c r="AM12" s="186"/>
      <c r="AN12" t="s">
        <v>44</v>
      </c>
      <c r="AO12" t="s">
        <v>43</v>
      </c>
      <c r="AT12" s="77"/>
      <c r="AU12" s="78"/>
      <c r="AV12" s="78"/>
      <c r="AW12" s="78"/>
      <c r="AX12" s="77"/>
      <c r="AY12" s="77"/>
      <c r="AZ12" s="77"/>
      <c r="BA12" s="77"/>
      <c r="BB12" s="77"/>
      <c r="BC12" s="77"/>
      <c r="BD12" s="77"/>
      <c r="BE12" s="77"/>
      <c r="BF12" s="77"/>
      <c r="BG12" s="77"/>
    </row>
    <row r="13" spans="1:59" ht="12.75">
      <c r="A13" s="27" t="s">
        <v>17</v>
      </c>
      <c r="B13" s="29"/>
      <c r="C13" s="29"/>
      <c r="D13" s="23"/>
      <c r="E13" s="195"/>
      <c r="F13" s="196"/>
      <c r="G13" s="197"/>
      <c r="H13" s="198"/>
      <c r="I13" s="199"/>
      <c r="J13" s="199"/>
      <c r="K13" s="200"/>
      <c r="L13" s="143"/>
      <c r="M13" s="20"/>
      <c r="N13" s="20"/>
      <c r="O13" s="20"/>
      <c r="P13" s="62"/>
      <c r="Q13" s="27" t="s">
        <v>17</v>
      </c>
      <c r="R13" s="29"/>
      <c r="S13" s="29"/>
      <c r="T13" s="23"/>
      <c r="U13" s="195">
        <f t="shared" si="0"/>
        <v>0</v>
      </c>
      <c r="V13" s="196"/>
      <c r="W13" s="197"/>
      <c r="X13" s="198" t="s">
        <v>115</v>
      </c>
      <c r="Y13" s="199"/>
      <c r="Z13" s="199"/>
      <c r="AA13" s="200"/>
      <c r="AB13" s="143">
        <f t="shared" si="1"/>
        <v>0</v>
      </c>
      <c r="AC13" s="20"/>
      <c r="AD13" s="20"/>
      <c r="AE13" s="91"/>
      <c r="AF13" s="62"/>
      <c r="AH13" s="85"/>
      <c r="AI13" s="4" t="s">
        <v>33</v>
      </c>
      <c r="AJ13" s="107">
        <v>80000</v>
      </c>
      <c r="AK13" s="4"/>
      <c r="AL13" s="107">
        <v>800</v>
      </c>
      <c r="AM13" s="107">
        <v>690</v>
      </c>
      <c r="AN13" s="87">
        <v>110</v>
      </c>
      <c r="AO13" s="87">
        <f>ROUND(Redd_Detraz/AJ19,4)</f>
        <v>0</v>
      </c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</row>
    <row r="14" spans="1:59" ht="12.75">
      <c r="A14" s="192" t="s">
        <v>108</v>
      </c>
      <c r="B14" s="193"/>
      <c r="C14" s="193"/>
      <c r="D14" s="194"/>
      <c r="E14" s="195"/>
      <c r="F14" s="196"/>
      <c r="G14" s="197"/>
      <c r="H14" s="198" t="s">
        <v>116</v>
      </c>
      <c r="I14" s="199"/>
      <c r="J14" s="199"/>
      <c r="K14" s="200"/>
      <c r="L14" s="143">
        <f>ROUND(E13*80%*(Aliquote!$G$9)+E13*(Aliquote!$H$9+Aliquote!$I$9),5)</f>
        <v>0</v>
      </c>
      <c r="M14" s="20"/>
      <c r="N14" s="20"/>
      <c r="O14" s="20"/>
      <c r="P14" s="62"/>
      <c r="Q14" s="26" t="s">
        <v>13</v>
      </c>
      <c r="R14" s="30"/>
      <c r="S14" s="30"/>
      <c r="T14" s="24"/>
      <c r="U14" s="195">
        <f t="shared" si="0"/>
        <v>0</v>
      </c>
      <c r="V14" s="196"/>
      <c r="W14" s="197"/>
      <c r="X14" s="198" t="s">
        <v>116</v>
      </c>
      <c r="Y14" s="199"/>
      <c r="Z14" s="199"/>
      <c r="AA14" s="200"/>
      <c r="AB14" s="143">
        <f t="shared" si="1"/>
        <v>0</v>
      </c>
      <c r="AC14" s="20"/>
      <c r="AD14" s="20"/>
      <c r="AE14" s="20"/>
      <c r="AF14" s="62"/>
      <c r="AH14" s="85"/>
      <c r="AI14" s="4" t="s">
        <v>34</v>
      </c>
      <c r="AJ14" s="107">
        <v>95000</v>
      </c>
      <c r="AK14" s="4"/>
      <c r="AL14" s="107">
        <v>800</v>
      </c>
      <c r="AO14" s="77">
        <f>ROUND((Coniuge-Redd_Detraz)/AJ38,4)</f>
        <v>2</v>
      </c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</row>
    <row r="15" spans="1:59" ht="12.75">
      <c r="A15" s="192" t="s">
        <v>109</v>
      </c>
      <c r="B15" s="193"/>
      <c r="C15" s="193"/>
      <c r="D15" s="194"/>
      <c r="E15" s="195"/>
      <c r="F15" s="196"/>
      <c r="G15" s="197"/>
      <c r="H15" s="192" t="s">
        <v>149</v>
      </c>
      <c r="I15" s="193"/>
      <c r="J15" s="193"/>
      <c r="K15" s="194"/>
      <c r="L15" s="143">
        <f>ROUND(E14*80%*(Aliquote!$G$9)+E14*(Aliquote!$H$9+Aliquote!$I$9),5)</f>
        <v>0</v>
      </c>
      <c r="M15" s="20"/>
      <c r="N15" s="20"/>
      <c r="O15" s="20"/>
      <c r="P15" s="62"/>
      <c r="Q15" s="26" t="s">
        <v>13</v>
      </c>
      <c r="R15" s="30"/>
      <c r="S15" s="30"/>
      <c r="T15" s="24"/>
      <c r="U15" s="195">
        <f t="shared" si="0"/>
        <v>0</v>
      </c>
      <c r="V15" s="196"/>
      <c r="W15" s="197"/>
      <c r="X15" s="192" t="s">
        <v>13</v>
      </c>
      <c r="Y15" s="193"/>
      <c r="Z15" s="193"/>
      <c r="AA15" s="194"/>
      <c r="AB15" s="143">
        <f t="shared" si="1"/>
        <v>0</v>
      </c>
      <c r="AC15" s="20"/>
      <c r="AD15" s="20"/>
      <c r="AE15" s="25" t="s">
        <v>93</v>
      </c>
      <c r="AF15" s="62"/>
      <c r="AH15" s="85"/>
      <c r="AI15" s="4" t="s">
        <v>35</v>
      </c>
      <c r="AJ15" s="107">
        <v>55000</v>
      </c>
      <c r="AK15" s="4"/>
      <c r="AL15" s="107">
        <v>1338</v>
      </c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</row>
    <row r="16" spans="1:59" ht="12.75">
      <c r="A16" s="192" t="s">
        <v>148</v>
      </c>
      <c r="B16" s="193"/>
      <c r="C16" s="193"/>
      <c r="D16" s="194"/>
      <c r="E16" s="195"/>
      <c r="F16" s="196"/>
      <c r="G16" s="197"/>
      <c r="H16" s="192" t="s">
        <v>150</v>
      </c>
      <c r="I16" s="193"/>
      <c r="J16" s="193"/>
      <c r="K16" s="194"/>
      <c r="L16" s="144">
        <f>ROUND(E15*(Aliquote!$H$9+Aliquote!$I$9),5)</f>
        <v>0</v>
      </c>
      <c r="M16" s="20"/>
      <c r="N16" s="20"/>
      <c r="O16" s="20"/>
      <c r="P16" s="62"/>
      <c r="Q16" s="192" t="s">
        <v>57</v>
      </c>
      <c r="R16" s="193"/>
      <c r="S16" s="193"/>
      <c r="T16" s="194"/>
      <c r="U16" s="195"/>
      <c r="V16" s="196"/>
      <c r="W16" s="197"/>
      <c r="X16" s="192" t="s">
        <v>13</v>
      </c>
      <c r="Y16" s="193"/>
      <c r="Z16" s="193"/>
      <c r="AA16" s="194"/>
      <c r="AB16" s="143">
        <f t="shared" si="1"/>
        <v>0</v>
      </c>
      <c r="AC16" s="298"/>
      <c r="AD16" s="299"/>
      <c r="AE16" s="146">
        <f>IF(O46&gt;E12,ROUND((O46-E12)*12,2),0)</f>
        <v>0</v>
      </c>
      <c r="AF16" s="62"/>
      <c r="AH16" s="85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</row>
    <row r="17" spans="1:59" ht="12.75">
      <c r="A17" s="163" t="s">
        <v>15</v>
      </c>
      <c r="B17" s="154"/>
      <c r="C17" s="154"/>
      <c r="D17" s="164"/>
      <c r="E17" s="175">
        <f>SUM(E8:G16)</f>
        <v>0</v>
      </c>
      <c r="F17" s="219"/>
      <c r="G17" s="176"/>
      <c r="H17" s="192" t="s">
        <v>148</v>
      </c>
      <c r="I17" s="193"/>
      <c r="J17" s="193"/>
      <c r="K17" s="194"/>
      <c r="L17" s="189"/>
      <c r="M17" s="20"/>
      <c r="N17" s="20"/>
      <c r="O17" s="20"/>
      <c r="P17" s="62"/>
      <c r="Q17" s="31" t="s">
        <v>15</v>
      </c>
      <c r="R17" s="28"/>
      <c r="S17" s="28"/>
      <c r="T17" s="32"/>
      <c r="U17" s="175">
        <f>SUM(U8:W16)</f>
        <v>0</v>
      </c>
      <c r="V17" s="219"/>
      <c r="W17" s="176"/>
      <c r="X17" s="192" t="s">
        <v>57</v>
      </c>
      <c r="Y17" s="193"/>
      <c r="Z17" s="193"/>
      <c r="AA17" s="194"/>
      <c r="AB17" s="143">
        <f t="shared" si="1"/>
        <v>0</v>
      </c>
      <c r="AC17" s="160"/>
      <c r="AD17" s="160"/>
      <c r="AE17" s="147"/>
      <c r="AF17" s="62"/>
      <c r="AH17" s="85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</row>
    <row r="18" spans="1:59" ht="13.5" thickBot="1">
      <c r="A18" s="57"/>
      <c r="B18" s="20"/>
      <c r="C18" s="20"/>
      <c r="D18" s="20"/>
      <c r="E18" s="20"/>
      <c r="F18" s="20"/>
      <c r="G18" s="20"/>
      <c r="H18" s="163" t="s">
        <v>15</v>
      </c>
      <c r="I18" s="154"/>
      <c r="J18" s="154"/>
      <c r="K18" s="164"/>
      <c r="L18" s="3">
        <f>SUM(L8:L17)</f>
        <v>0</v>
      </c>
      <c r="M18" s="20"/>
      <c r="N18" s="20"/>
      <c r="O18" s="20"/>
      <c r="P18" s="62"/>
      <c r="Q18" s="57"/>
      <c r="R18" s="20"/>
      <c r="S18" s="20"/>
      <c r="T18" s="20"/>
      <c r="U18" s="20"/>
      <c r="V18" s="20"/>
      <c r="W18" s="20"/>
      <c r="X18" s="31" t="s">
        <v>15</v>
      </c>
      <c r="Y18" s="28"/>
      <c r="Z18" s="28"/>
      <c r="AA18" s="32"/>
      <c r="AB18" s="3">
        <f>SUM(AB8:AB17)</f>
        <v>0</v>
      </c>
      <c r="AC18" s="136"/>
      <c r="AD18" s="136" t="s">
        <v>139</v>
      </c>
      <c r="AE18" s="147"/>
      <c r="AF18" s="151">
        <f>ROUND(E12*12,5)</f>
        <v>0</v>
      </c>
      <c r="AH18" s="85"/>
      <c r="AI18" s="4" t="s">
        <v>38</v>
      </c>
      <c r="AJ18" s="110" t="s">
        <v>39</v>
      </c>
      <c r="AK18" s="77"/>
      <c r="AL18" s="111" t="s">
        <v>45</v>
      </c>
      <c r="AM18" s="111" t="s">
        <v>40</v>
      </c>
      <c r="AO18">
        <f>IF(AP18&gt;0,1,0)</f>
        <v>0</v>
      </c>
      <c r="AP18" s="87"/>
      <c r="AQ18" s="87">
        <v>700</v>
      </c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</row>
    <row r="19" spans="1:59" ht="13.5" customHeight="1" hidden="1" thickBot="1">
      <c r="A19" s="79"/>
      <c r="B19" s="25"/>
      <c r="C19" s="25"/>
      <c r="D19" s="25"/>
      <c r="E19" s="25"/>
      <c r="F19" s="25"/>
      <c r="G19" s="25"/>
      <c r="H19" s="20"/>
      <c r="I19" s="20"/>
      <c r="J19" s="20"/>
      <c r="K19" s="20"/>
      <c r="L19" s="20"/>
      <c r="M19" s="20"/>
      <c r="N19" s="20"/>
      <c r="O19" s="20"/>
      <c r="P19" s="62"/>
      <c r="Q19" s="79"/>
      <c r="R19" s="25"/>
      <c r="S19" s="25"/>
      <c r="T19" s="25"/>
      <c r="U19" s="25"/>
      <c r="V19" s="25"/>
      <c r="W19" s="25"/>
      <c r="X19" s="20"/>
      <c r="Y19" s="20"/>
      <c r="Z19" s="20"/>
      <c r="AA19" s="20"/>
      <c r="AB19" s="20"/>
      <c r="AC19" s="136"/>
      <c r="AD19" s="20"/>
      <c r="AE19" s="148"/>
      <c r="AF19" s="62"/>
      <c r="AI19" s="315" t="s">
        <v>33</v>
      </c>
      <c r="AJ19" s="316">
        <v>15000</v>
      </c>
      <c r="AK19" s="77"/>
      <c r="AL19" s="118">
        <v>0</v>
      </c>
      <c r="AM19" s="127">
        <v>0</v>
      </c>
      <c r="AO19">
        <f>IF(AP19&gt;0,1,0)</f>
        <v>0</v>
      </c>
      <c r="AP19" s="87"/>
      <c r="AQ19" s="87">
        <v>500</v>
      </c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</row>
    <row r="20" spans="1:59" ht="15.75">
      <c r="A20" s="241" t="s">
        <v>66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3"/>
      <c r="Q20" s="241" t="s">
        <v>66</v>
      </c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3"/>
      <c r="AI20" s="315"/>
      <c r="AJ20" s="316"/>
      <c r="AK20" s="77"/>
      <c r="AL20" s="128"/>
      <c r="AM20" s="129"/>
      <c r="AP20" s="87"/>
      <c r="AQ20" s="8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</row>
    <row r="21" spans="1:59" ht="12.75">
      <c r="A21" s="289" t="s">
        <v>33</v>
      </c>
      <c r="B21" s="289"/>
      <c r="C21" s="289"/>
      <c r="D21" s="2"/>
      <c r="E21" s="25"/>
      <c r="F21" s="63"/>
      <c r="G21" s="63"/>
      <c r="H21" s="63"/>
      <c r="I21" s="45"/>
      <c r="J21" s="20"/>
      <c r="K21" s="20"/>
      <c r="L21" s="20"/>
      <c r="M21" s="20"/>
      <c r="N21" s="20"/>
      <c r="O21" s="20"/>
      <c r="P21" s="62"/>
      <c r="Q21" s="289" t="s">
        <v>33</v>
      </c>
      <c r="R21" s="289"/>
      <c r="S21" s="289"/>
      <c r="T21" s="2">
        <f>+D21</f>
        <v>0</v>
      </c>
      <c r="U21" s="25"/>
      <c r="V21" s="63" t="str">
        <f>IF(CNG="Si","Mesi a carico",Vuota1)</f>
        <v>        </v>
      </c>
      <c r="W21" s="63"/>
      <c r="X21" s="63"/>
      <c r="Y21" s="45">
        <v>12</v>
      </c>
      <c r="Z21" s="20"/>
      <c r="AA21" s="20"/>
      <c r="AB21" s="20"/>
      <c r="AC21" s="20"/>
      <c r="AD21" s="20"/>
      <c r="AE21" s="20"/>
      <c r="AF21" s="62"/>
      <c r="AI21" s="315"/>
      <c r="AJ21" s="316"/>
      <c r="AK21" s="77"/>
      <c r="AL21" s="128"/>
      <c r="AM21" s="129"/>
      <c r="AP21" s="87"/>
      <c r="AQ21" s="87"/>
      <c r="AT21" s="77"/>
      <c r="AU21" s="303" t="s">
        <v>83</v>
      </c>
      <c r="AV21" s="304"/>
      <c r="AW21" s="305"/>
      <c r="AX21" s="77"/>
      <c r="AY21" s="77"/>
      <c r="AZ21" s="77"/>
      <c r="BA21" s="77"/>
      <c r="BB21" s="77"/>
      <c r="BC21" s="77"/>
      <c r="BD21" s="77"/>
      <c r="BE21" s="77"/>
      <c r="BF21" s="77"/>
      <c r="BG21" s="77"/>
    </row>
    <row r="22" spans="1:59" ht="12.75">
      <c r="A22" s="64"/>
      <c r="B22" s="63"/>
      <c r="C22" s="48"/>
      <c r="D22" s="20"/>
      <c r="E22" s="25"/>
      <c r="F22" s="63"/>
      <c r="G22" s="63"/>
      <c r="H22" s="63"/>
      <c r="I22" s="20"/>
      <c r="J22" s="20"/>
      <c r="K22" s="20"/>
      <c r="L22" s="20"/>
      <c r="M22" s="20"/>
      <c r="N22" s="20"/>
      <c r="O22" s="20"/>
      <c r="P22" s="62"/>
      <c r="Q22" s="64"/>
      <c r="R22" s="63"/>
      <c r="S22" s="48"/>
      <c r="T22" s="20"/>
      <c r="U22" s="25"/>
      <c r="V22" s="63"/>
      <c r="W22" s="63"/>
      <c r="X22" s="63"/>
      <c r="Y22" s="20"/>
      <c r="Z22" s="20"/>
      <c r="AA22" s="20"/>
      <c r="AB22" s="20"/>
      <c r="AC22" s="20"/>
      <c r="AD22" s="20"/>
      <c r="AE22" s="20"/>
      <c r="AF22" s="62"/>
      <c r="AI22" s="315"/>
      <c r="AJ22" s="316"/>
      <c r="AK22" s="77"/>
      <c r="AL22" s="128"/>
      <c r="AM22" s="129"/>
      <c r="AP22" s="87"/>
      <c r="AQ22" s="87"/>
      <c r="AT22" s="77"/>
      <c r="AU22" s="306"/>
      <c r="AV22" s="257"/>
      <c r="AW22" s="307"/>
      <c r="AX22" s="77"/>
      <c r="AY22" s="77"/>
      <c r="AZ22" s="77"/>
      <c r="BA22" s="77"/>
      <c r="BB22" s="77"/>
      <c r="BC22" s="77"/>
      <c r="BD22" s="77"/>
      <c r="BE22" s="77"/>
      <c r="BF22" s="77"/>
      <c r="BG22" s="77"/>
    </row>
    <row r="23" spans="1:59" ht="12.75">
      <c r="A23" s="54" t="s">
        <v>67</v>
      </c>
      <c r="B23" s="55"/>
      <c r="C23" s="56"/>
      <c r="D23" s="49"/>
      <c r="E23" s="20"/>
      <c r="F23" s="63" t="str">
        <f>IF(N_Fgl&gt;0,"Se il 1° figlio è in assenza del coniuge barrare la casella &gt;&gt;&gt;&gt;",Vuota1)</f>
        <v>        </v>
      </c>
      <c r="G23" s="63"/>
      <c r="H23" s="63"/>
      <c r="I23" s="20"/>
      <c r="J23" s="25"/>
      <c r="K23" s="20"/>
      <c r="L23" s="20"/>
      <c r="M23" s="20"/>
      <c r="N23" s="43"/>
      <c r="O23" s="63"/>
      <c r="P23" s="65"/>
      <c r="Q23" s="54" t="s">
        <v>67</v>
      </c>
      <c r="R23" s="55"/>
      <c r="S23" s="56"/>
      <c r="T23" s="49">
        <f>+D23</f>
        <v>0</v>
      </c>
      <c r="U23" s="20"/>
      <c r="V23" s="63" t="str">
        <f>IF(N_Fgl&gt;0,"Se il 1° figlio è in assenza delconiuge barrare la casella &gt;&gt;&gt;&gt;",Vuota1)</f>
        <v>        </v>
      </c>
      <c r="W23" s="63"/>
      <c r="X23" s="63"/>
      <c r="Y23" s="20"/>
      <c r="Z23" s="25"/>
      <c r="AA23" s="20"/>
      <c r="AB23" s="20"/>
      <c r="AC23" s="20"/>
      <c r="AD23" s="44">
        <f>+N23</f>
        <v>0</v>
      </c>
      <c r="AE23" s="63" t="str">
        <f>IF(AD23&gt;0,"Mesi a carico",Vuota1)</f>
        <v>        </v>
      </c>
      <c r="AF23" s="65"/>
      <c r="AI23" s="315"/>
      <c r="AJ23" s="316"/>
      <c r="AK23" s="77"/>
      <c r="AL23" s="128"/>
      <c r="AM23" s="129"/>
      <c r="AP23" s="87"/>
      <c r="AQ23" s="87"/>
      <c r="AT23" s="77"/>
      <c r="AU23" s="306"/>
      <c r="AV23" s="257"/>
      <c r="AW23" s="307"/>
      <c r="AX23" s="77"/>
      <c r="AY23" s="77"/>
      <c r="AZ23" s="77"/>
      <c r="BA23" s="77"/>
      <c r="BB23" s="77"/>
      <c r="BC23" s="77"/>
      <c r="BD23" s="77"/>
      <c r="BE23" s="77"/>
      <c r="BF23" s="77"/>
      <c r="BG23" s="77"/>
    </row>
    <row r="24" spans="1:59" ht="12.75" customHeight="1">
      <c r="A24" s="47"/>
      <c r="B24" s="239" t="s">
        <v>64</v>
      </c>
      <c r="C24" s="240"/>
      <c r="D24" s="293"/>
      <c r="E24" s="294" t="s">
        <v>65</v>
      </c>
      <c r="F24" s="295"/>
      <c r="G24" s="293"/>
      <c r="H24" s="294" t="s">
        <v>59</v>
      </c>
      <c r="I24" s="295"/>
      <c r="J24" s="293"/>
      <c r="K24" s="48"/>
      <c r="L24" s="63"/>
      <c r="M24" s="20"/>
      <c r="N24" s="20"/>
      <c r="O24" s="20"/>
      <c r="P24" s="62"/>
      <c r="Q24" s="47"/>
      <c r="R24" s="239" t="s">
        <v>64</v>
      </c>
      <c r="S24" s="240"/>
      <c r="T24" s="293"/>
      <c r="U24" s="294" t="s">
        <v>65</v>
      </c>
      <c r="V24" s="295"/>
      <c r="W24" s="293"/>
      <c r="X24" s="294" t="s">
        <v>59</v>
      </c>
      <c r="Y24" s="295"/>
      <c r="Z24" s="293"/>
      <c r="AA24" s="42" t="s">
        <v>80</v>
      </c>
      <c r="AB24" s="63"/>
      <c r="AC24" s="20"/>
      <c r="AD24" s="20"/>
      <c r="AE24" s="20"/>
      <c r="AF24" s="62"/>
      <c r="AI24" s="315"/>
      <c r="AJ24" s="316"/>
      <c r="AK24" s="77"/>
      <c r="AL24" s="128"/>
      <c r="AM24" s="129"/>
      <c r="AP24" s="87"/>
      <c r="AQ24" s="87"/>
      <c r="AT24" s="77"/>
      <c r="AU24" s="306"/>
      <c r="AV24" s="257"/>
      <c r="AW24" s="307"/>
      <c r="AX24" s="77"/>
      <c r="AY24" s="77"/>
      <c r="AZ24" s="77"/>
      <c r="BA24" s="77"/>
      <c r="BB24" s="77"/>
      <c r="BC24" s="77"/>
      <c r="BD24" s="77"/>
      <c r="BE24" s="77"/>
      <c r="BF24" s="77"/>
      <c r="BG24" s="77"/>
    </row>
    <row r="25" spans="1:59" ht="12.75" customHeight="1">
      <c r="A25" s="64" t="str">
        <f>IF(N_Fgl&gt;0,"1° figlio",Vuota1)</f>
        <v>        </v>
      </c>
      <c r="B25" s="63"/>
      <c r="C25" s="43"/>
      <c r="D25" s="63"/>
      <c r="E25" s="63"/>
      <c r="F25" s="43"/>
      <c r="G25" s="63"/>
      <c r="H25" s="63"/>
      <c r="I25" s="43"/>
      <c r="J25" s="63"/>
      <c r="K25" s="63"/>
      <c r="L25" s="66" t="str">
        <f>IF($D$23&gt;0,ROUND(AB25/12,2),Vuota1)</f>
        <v>        </v>
      </c>
      <c r="M25" s="231" t="s">
        <v>69</v>
      </c>
      <c r="N25" s="232"/>
      <c r="O25" s="233"/>
      <c r="P25" s="244">
        <v>1</v>
      </c>
      <c r="Q25" s="64" t="str">
        <f>IF(N_Fgl&gt;0,"1° figlio",Vuota1)</f>
        <v>        </v>
      </c>
      <c r="R25" s="63"/>
      <c r="S25" s="43">
        <f aca="true" t="shared" si="2" ref="S25:S31">+C25</f>
        <v>0</v>
      </c>
      <c r="T25" s="63"/>
      <c r="U25" s="63"/>
      <c r="V25" s="43">
        <f aca="true" t="shared" si="3" ref="V25:V31">+F25</f>
        <v>0</v>
      </c>
      <c r="W25" s="63"/>
      <c r="X25" s="63"/>
      <c r="Y25" s="43">
        <f aca="true" t="shared" si="4" ref="Y25:Y31">+I25</f>
        <v>0</v>
      </c>
      <c r="Z25" s="63"/>
      <c r="AA25" s="43"/>
      <c r="AB25" s="66" t="str">
        <f>IF(N_Fgl&gt;0,IF(AD23&gt;0,AH27,ROUND(dsfig*Percm,2)+IF($V$25&gt;0,ROUND((dsfg3-dsfig)*Percm,2),0)+IF($Y$25&gt;0,ROUND(dsfhc*Percm,2),0)),Vuota1)</f>
        <v>        </v>
      </c>
      <c r="AC25" s="231" t="s">
        <v>69</v>
      </c>
      <c r="AD25" s="232"/>
      <c r="AE25" s="233"/>
      <c r="AF25" s="244">
        <f>+P25</f>
        <v>1</v>
      </c>
      <c r="AH25" s="106">
        <f>ROUND(dsfig,5)+IF($V$25&gt;0,ROUND(dsfg3-dsfig,5),0)+IF($Y$25&gt;0,ROUND(dsfhc,5),0)</f>
        <v>0</v>
      </c>
      <c r="AI25" s="315"/>
      <c r="AJ25" s="316"/>
      <c r="AK25" s="77"/>
      <c r="AL25" s="128"/>
      <c r="AM25" s="129"/>
      <c r="AP25" s="87"/>
      <c r="AQ25" s="87"/>
      <c r="AT25" s="77"/>
      <c r="AU25" s="308"/>
      <c r="AV25" s="309"/>
      <c r="AW25" s="310"/>
      <c r="AX25" s="77"/>
      <c r="AY25" s="77"/>
      <c r="AZ25" s="77"/>
      <c r="BA25" s="77"/>
      <c r="BB25" s="77"/>
      <c r="BC25" s="77"/>
      <c r="BD25" s="77"/>
      <c r="BE25" s="77"/>
      <c r="BF25" s="77"/>
      <c r="BG25" s="77"/>
    </row>
    <row r="26" spans="1:59" ht="12.75">
      <c r="A26" s="64" t="str">
        <f>IF(N_Fgl&gt;1,"2° figlio"," ")</f>
        <v> </v>
      </c>
      <c r="B26" s="63"/>
      <c r="C26" s="43"/>
      <c r="D26" s="63"/>
      <c r="E26" s="63"/>
      <c r="F26" s="43"/>
      <c r="G26" s="63"/>
      <c r="H26" s="63"/>
      <c r="I26" s="43"/>
      <c r="J26" s="63"/>
      <c r="K26" s="63"/>
      <c r="L26" s="66" t="str">
        <f>IF($D$23&gt;1,ROUND(AB26/12,2),Vuota1)</f>
        <v>        </v>
      </c>
      <c r="M26" s="234"/>
      <c r="N26" s="188"/>
      <c r="O26" s="235"/>
      <c r="P26" s="245"/>
      <c r="Q26" s="64" t="str">
        <f>IF(N_Fgl&gt;1,"2° figlio"," ")</f>
        <v> </v>
      </c>
      <c r="R26" s="63"/>
      <c r="S26" s="43">
        <f t="shared" si="2"/>
        <v>0</v>
      </c>
      <c r="T26" s="63"/>
      <c r="U26" s="63"/>
      <c r="V26" s="43">
        <f t="shared" si="3"/>
        <v>0</v>
      </c>
      <c r="W26" s="63"/>
      <c r="X26" s="63"/>
      <c r="Y26" s="43">
        <f t="shared" si="4"/>
        <v>0</v>
      </c>
      <c r="Z26" s="63"/>
      <c r="AA26" s="43"/>
      <c r="AB26" s="66" t="str">
        <f>IF(N_Fgl&gt;1,ROUND(dsfig*Percm,2)+IF(V26&gt;0,ROUND((dsfg3-dsfig)*Percm,2),0)+IF(Y26&gt;0,ROUND(dsfhc*Percm,2),0),Vuota1)</f>
        <v>        </v>
      </c>
      <c r="AC26" s="234"/>
      <c r="AD26" s="188"/>
      <c r="AE26" s="235"/>
      <c r="AF26" s="245"/>
      <c r="AI26" s="315"/>
      <c r="AJ26" s="316"/>
      <c r="AK26" s="77"/>
      <c r="AL26" s="128"/>
      <c r="AM26" s="129"/>
      <c r="AP26" s="87"/>
      <c r="AQ26" s="8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</row>
    <row r="27" spans="1:59" ht="12.75">
      <c r="A27" s="64" t="str">
        <f>IF(N_Fgl&gt;2,"3° figlio"," ")</f>
        <v> </v>
      </c>
      <c r="B27" s="63"/>
      <c r="C27" s="43"/>
      <c r="D27" s="63"/>
      <c r="E27" s="63"/>
      <c r="F27" s="43"/>
      <c r="G27" s="63"/>
      <c r="H27" s="63"/>
      <c r="I27" s="43"/>
      <c r="J27" s="63"/>
      <c r="K27" s="63"/>
      <c r="L27" s="66" t="str">
        <f>IF($D$23&gt;2,ROUND(AB27/12,2),Vuota1)</f>
        <v>        </v>
      </c>
      <c r="M27" s="236"/>
      <c r="N27" s="237"/>
      <c r="O27" s="238"/>
      <c r="P27" s="246"/>
      <c r="Q27" s="64" t="str">
        <f>IF(N_Fgl&gt;2,"3° figlio"," ")</f>
        <v> </v>
      </c>
      <c r="R27" s="63"/>
      <c r="S27" s="43">
        <f t="shared" si="2"/>
        <v>0</v>
      </c>
      <c r="T27" s="63"/>
      <c r="U27" s="63"/>
      <c r="V27" s="43">
        <f t="shared" si="3"/>
        <v>0</v>
      </c>
      <c r="W27" s="63"/>
      <c r="X27" s="63"/>
      <c r="Y27" s="43">
        <f t="shared" si="4"/>
        <v>0</v>
      </c>
      <c r="Z27" s="63"/>
      <c r="AA27" s="43"/>
      <c r="AB27" s="66" t="str">
        <f>IF(N_Fgl&gt;2,ROUND(dsfig*Percm,2)+IF(V27&gt;0,ROUND((dsfg3-dsfig)*Percm,2),0)+IF(Y27&gt;0,ROUND(dsfhc*Percm,2),0),Vuota1)</f>
        <v>        </v>
      </c>
      <c r="AC27" s="236"/>
      <c r="AD27" s="237"/>
      <c r="AE27" s="238"/>
      <c r="AF27" s="246"/>
      <c r="AH27" s="106">
        <f>IF($AD$23&gt;0,IF($AH$25&gt;Cng_nn,ROUND($AH$25,2),ROUND(Cng_nn,5)),AH25)</f>
        <v>0</v>
      </c>
      <c r="AI27" s="315"/>
      <c r="AJ27" s="316"/>
      <c r="AK27" s="77"/>
      <c r="AL27" s="128"/>
      <c r="AM27" s="129"/>
      <c r="AP27" s="87"/>
      <c r="AQ27" s="8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</row>
    <row r="28" spans="1:59" ht="12.75">
      <c r="A28" s="64" t="str">
        <f>IF(N_Fgl&gt;3,"4° figlio"," ")</f>
        <v> </v>
      </c>
      <c r="B28" s="63"/>
      <c r="C28" s="43"/>
      <c r="D28" s="63"/>
      <c r="E28" s="63"/>
      <c r="F28" s="43"/>
      <c r="G28" s="63"/>
      <c r="H28" s="63"/>
      <c r="I28" s="43"/>
      <c r="J28" s="63"/>
      <c r="K28" s="63"/>
      <c r="L28" s="66" t="str">
        <f>IF($D$23&gt;3,ROUND(AB28/12,2),Vuota1)</f>
        <v>        </v>
      </c>
      <c r="M28" s="319" t="str">
        <f>IF(N23&gt;0,IF(P25=50%,"Attenzione: la percentuale deve essere 100%",Vuota1),Vuota1)</f>
        <v>        </v>
      </c>
      <c r="N28" s="319"/>
      <c r="O28" s="319"/>
      <c r="P28" s="320"/>
      <c r="Q28" s="64" t="str">
        <f>IF(N_Fgl&gt;3,"4° figlio"," ")</f>
        <v> </v>
      </c>
      <c r="R28" s="63"/>
      <c r="S28" s="43">
        <f t="shared" si="2"/>
        <v>0</v>
      </c>
      <c r="T28" s="63"/>
      <c r="U28" s="63"/>
      <c r="V28" s="43">
        <f t="shared" si="3"/>
        <v>0</v>
      </c>
      <c r="W28" s="63"/>
      <c r="X28" s="63"/>
      <c r="Y28" s="43">
        <f t="shared" si="4"/>
        <v>0</v>
      </c>
      <c r="Z28" s="63"/>
      <c r="AA28" s="43"/>
      <c r="AB28" s="66" t="str">
        <f>IF(N_Fgl&gt;3,ROUND(dsfig*Percm,2)+IF(V28&gt;0,ROUND((dsfg3-dsfig)*Percm,2),0)+IF(Y28&gt;0,ROUND(dsfhc*Percm,2),0),Vuota1)</f>
        <v>        </v>
      </c>
      <c r="AC28" s="20"/>
      <c r="AD28" s="20"/>
      <c r="AE28" s="20"/>
      <c r="AF28" s="62"/>
      <c r="AI28" s="315"/>
      <c r="AJ28" s="316"/>
      <c r="AK28" s="77"/>
      <c r="AL28" s="128"/>
      <c r="AM28" s="129"/>
      <c r="AP28" s="87"/>
      <c r="AQ28" s="8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</row>
    <row r="29" spans="1:59" ht="13.5" thickBot="1">
      <c r="A29" s="64" t="str">
        <f>IF(N_Fgl&gt;4,"5° figlio"," ")</f>
        <v> </v>
      </c>
      <c r="B29" s="63"/>
      <c r="C29" s="43"/>
      <c r="D29" s="63"/>
      <c r="E29" s="63"/>
      <c r="F29" s="43"/>
      <c r="G29" s="63"/>
      <c r="H29" s="63"/>
      <c r="I29" s="43"/>
      <c r="J29" s="63"/>
      <c r="K29" s="63"/>
      <c r="L29" s="66" t="str">
        <f>IF($D$23&gt;4,ROUND(AB29/12,2),Vuota1)</f>
        <v>        </v>
      </c>
      <c r="M29" s="321"/>
      <c r="N29" s="321"/>
      <c r="O29" s="321"/>
      <c r="P29" s="322"/>
      <c r="Q29" s="64" t="str">
        <f>IF(N_Fgl&gt;4,"5° figlio"," ")</f>
        <v> </v>
      </c>
      <c r="R29" s="63"/>
      <c r="S29" s="43">
        <f t="shared" si="2"/>
        <v>0</v>
      </c>
      <c r="T29" s="63"/>
      <c r="U29" s="63"/>
      <c r="V29" s="43">
        <f t="shared" si="3"/>
        <v>0</v>
      </c>
      <c r="W29" s="63"/>
      <c r="X29" s="63"/>
      <c r="Y29" s="43">
        <f t="shared" si="4"/>
        <v>0</v>
      </c>
      <c r="Z29" s="63"/>
      <c r="AA29" s="43"/>
      <c r="AB29" s="66" t="str">
        <f>IF(N_Fgl&gt;4,ROUND(dsfig*Percm,2)+IF(V29&gt;0,ROUND((dsfg3-dsfig)*Percm,2),0)+IF(Y29&gt;0,ROUND(dsfhc*Percm,2),0),Vuota1)</f>
        <v>        </v>
      </c>
      <c r="AC29" s="20"/>
      <c r="AD29" s="20"/>
      <c r="AE29" s="20"/>
      <c r="AF29" s="62"/>
      <c r="AI29" s="315"/>
      <c r="AJ29" s="316"/>
      <c r="AK29" s="77"/>
      <c r="AL29" s="128"/>
      <c r="AM29" s="129"/>
      <c r="AP29" s="87"/>
      <c r="AQ29" s="8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</row>
    <row r="30" spans="1:59" ht="13.5" thickTop="1">
      <c r="A30" s="64" t="str">
        <f>IF(N_Fgl&gt;5,"6° figlio"," ")</f>
        <v> </v>
      </c>
      <c r="B30" s="63"/>
      <c r="C30" s="43"/>
      <c r="D30" s="63"/>
      <c r="E30" s="63"/>
      <c r="F30" s="43"/>
      <c r="G30" s="63"/>
      <c r="H30" s="63"/>
      <c r="I30" s="43"/>
      <c r="J30" s="63"/>
      <c r="K30" s="63"/>
      <c r="L30" s="66" t="str">
        <f>IF($D$23&gt;5,ROUND(AB30/12,2),Vuota1)</f>
        <v>        </v>
      </c>
      <c r="M30" s="20"/>
      <c r="N30" s="20"/>
      <c r="O30" s="20"/>
      <c r="P30" s="62"/>
      <c r="Q30" s="64" t="str">
        <f>IF(N_Fgl&gt;5,"6° figlio"," ")</f>
        <v> </v>
      </c>
      <c r="R30" s="63"/>
      <c r="S30" s="43">
        <f t="shared" si="2"/>
        <v>0</v>
      </c>
      <c r="T30" s="63"/>
      <c r="U30" s="63"/>
      <c r="V30" s="43">
        <f t="shared" si="3"/>
        <v>0</v>
      </c>
      <c r="W30" s="63"/>
      <c r="X30" s="63"/>
      <c r="Y30" s="43">
        <f t="shared" si="4"/>
        <v>0</v>
      </c>
      <c r="Z30" s="63"/>
      <c r="AA30" s="43"/>
      <c r="AB30" s="66" t="str">
        <f>IF(N_Fgl&gt;5,ROUND(dsfig*Percm,2)+IF(V30&gt;0,ROUND((dsfg3-dsfig)*Percm,2),0)+IF(Y30&gt;0,ROUND(dsfhc*Percm,2),0),Vuota1)</f>
        <v>        </v>
      </c>
      <c r="AC30" s="20"/>
      <c r="AD30" s="20"/>
      <c r="AE30" s="20"/>
      <c r="AF30" s="62"/>
      <c r="AI30" s="315"/>
      <c r="AJ30" s="316"/>
      <c r="AK30" s="77"/>
      <c r="AL30" s="128"/>
      <c r="AM30" s="129"/>
      <c r="AP30" s="87"/>
      <c r="AQ30" s="87"/>
      <c r="AT30" s="77"/>
      <c r="AU30" s="253" t="s">
        <v>99</v>
      </c>
      <c r="AV30" s="254"/>
      <c r="AW30" s="255"/>
      <c r="AX30" s="77"/>
      <c r="AY30" s="77"/>
      <c r="AZ30" s="77"/>
      <c r="BA30" s="77"/>
      <c r="BB30" s="77"/>
      <c r="BC30" s="77"/>
      <c r="BD30" s="77"/>
      <c r="BE30" s="77"/>
      <c r="BF30" s="77"/>
      <c r="BG30" s="77"/>
    </row>
    <row r="31" spans="1:59" ht="12.75">
      <c r="A31" s="64" t="str">
        <f>IF(N_Fgl&gt;6,"7° figlio"," ")</f>
        <v> </v>
      </c>
      <c r="B31" s="63"/>
      <c r="C31" s="43"/>
      <c r="D31" s="63"/>
      <c r="E31" s="63"/>
      <c r="F31" s="43"/>
      <c r="G31" s="63"/>
      <c r="H31" s="63"/>
      <c r="I31" s="43"/>
      <c r="J31" s="63"/>
      <c r="K31" s="63"/>
      <c r="L31" s="66" t="str">
        <f>IF($D$23&gt;6,ROUND(AB31/12,2),Vuota1)</f>
        <v>        </v>
      </c>
      <c r="M31" s="20"/>
      <c r="N31" s="20"/>
      <c r="O31" s="20"/>
      <c r="P31" s="62"/>
      <c r="Q31" s="64" t="str">
        <f>IF(N_Fgl&gt;6,"7° figlio"," ")</f>
        <v> </v>
      </c>
      <c r="R31" s="63"/>
      <c r="S31" s="43">
        <f t="shared" si="2"/>
        <v>0</v>
      </c>
      <c r="T31" s="63"/>
      <c r="U31" s="63"/>
      <c r="V31" s="43">
        <f t="shared" si="3"/>
        <v>0</v>
      </c>
      <c r="W31" s="63"/>
      <c r="X31" s="63"/>
      <c r="Y31" s="43">
        <f t="shared" si="4"/>
        <v>0</v>
      </c>
      <c r="Z31" s="63"/>
      <c r="AA31" s="43"/>
      <c r="AB31" s="66" t="str">
        <f>IF(N_Fgl&gt;6,ROUND(dsfig*Percm,2)+IF(V31&gt;0,ROUND((dsfg3-dsfig)*Percm,2),0)+IF(Y31&gt;0,ROUND(dsfhc*Percm,2),0),Vuota1)</f>
        <v>        </v>
      </c>
      <c r="AC31" s="20"/>
      <c r="AD31" s="20"/>
      <c r="AE31" s="20"/>
      <c r="AF31" s="62"/>
      <c r="AI31" s="315"/>
      <c r="AJ31" s="316"/>
      <c r="AK31" s="77"/>
      <c r="AL31" s="128"/>
      <c r="AM31" s="129"/>
      <c r="AP31" s="87"/>
      <c r="AQ31" s="87"/>
      <c r="AT31" s="77"/>
      <c r="AU31" s="256"/>
      <c r="AV31" s="257"/>
      <c r="AW31" s="258"/>
      <c r="AX31" s="77"/>
      <c r="AY31" s="77"/>
      <c r="AZ31" s="77"/>
      <c r="BA31" s="77"/>
      <c r="BB31" s="77"/>
      <c r="BC31" s="77"/>
      <c r="BD31" s="77"/>
      <c r="BE31" s="77"/>
      <c r="BF31" s="77"/>
      <c r="BG31" s="77"/>
    </row>
    <row r="32" spans="1:59" ht="12.75">
      <c r="A32" s="5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62"/>
      <c r="Q32" s="57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62"/>
      <c r="AI32" s="315"/>
      <c r="AJ32" s="316"/>
      <c r="AK32" s="77"/>
      <c r="AL32" s="128"/>
      <c r="AM32" s="129"/>
      <c r="AP32" s="87"/>
      <c r="AQ32" s="87"/>
      <c r="AT32" s="77"/>
      <c r="AU32" s="256"/>
      <c r="AV32" s="257"/>
      <c r="AW32" s="258"/>
      <c r="AX32" s="77"/>
      <c r="AY32" s="77"/>
      <c r="AZ32" s="77"/>
      <c r="BA32" s="77"/>
      <c r="BB32" s="77"/>
      <c r="BC32" s="77"/>
      <c r="BD32" s="77"/>
      <c r="BE32" s="77"/>
      <c r="BF32" s="77"/>
      <c r="BG32" s="77"/>
    </row>
    <row r="33" spans="1:59" ht="12.75" customHeight="1">
      <c r="A33" s="286" t="s">
        <v>86</v>
      </c>
      <c r="B33" s="287"/>
      <c r="C33" s="288"/>
      <c r="D33" s="2"/>
      <c r="E33" s="20"/>
      <c r="F33" s="63"/>
      <c r="G33" s="63"/>
      <c r="H33" s="63"/>
      <c r="I33" s="45"/>
      <c r="J33" s="20"/>
      <c r="K33" s="188" t="str">
        <f>IF(D33&gt;0,"Indicare il numero complessivo degli aventi diritto alla detrazione pro quota",Vuota1)</f>
        <v>        </v>
      </c>
      <c r="L33" s="179"/>
      <c r="M33" s="179"/>
      <c r="N33" s="179"/>
      <c r="O33" s="179"/>
      <c r="P33" s="223"/>
      <c r="Q33" s="286" t="s">
        <v>86</v>
      </c>
      <c r="R33" s="287"/>
      <c r="S33" s="288"/>
      <c r="T33" s="2">
        <f>+D33</f>
        <v>0</v>
      </c>
      <c r="U33" s="20"/>
      <c r="V33" s="63" t="str">
        <f>IF(T33&gt;0,"Mesi a carico",Vuota1)</f>
        <v>        </v>
      </c>
      <c r="W33" s="63"/>
      <c r="X33" s="63"/>
      <c r="Y33" s="45">
        <v>12</v>
      </c>
      <c r="Z33" s="20"/>
      <c r="AA33" s="188" t="str">
        <f>IF(T33&gt;0,"Indicare il numero complessivo degli aventi diritto alla detrazione pro quota",Vuota1)</f>
        <v>        </v>
      </c>
      <c r="AB33" s="311"/>
      <c r="AC33" s="311"/>
      <c r="AD33" s="311"/>
      <c r="AE33" s="311"/>
      <c r="AF33" s="223">
        <f>+P33</f>
        <v>0</v>
      </c>
      <c r="AI33" s="315"/>
      <c r="AJ33" s="316"/>
      <c r="AK33" s="77"/>
      <c r="AL33" s="128"/>
      <c r="AM33" s="129"/>
      <c r="AP33" s="87"/>
      <c r="AQ33" s="87"/>
      <c r="AT33" s="77"/>
      <c r="AU33" s="256"/>
      <c r="AV33" s="257"/>
      <c r="AW33" s="258"/>
      <c r="AX33" s="77"/>
      <c r="AY33" s="77"/>
      <c r="AZ33" s="77"/>
      <c r="BA33" s="77"/>
      <c r="BB33" s="77"/>
      <c r="BC33" s="77"/>
      <c r="BD33" s="77"/>
      <c r="BE33" s="77"/>
      <c r="BF33" s="77"/>
      <c r="BG33" s="77"/>
    </row>
    <row r="34" spans="1:59" ht="12.75">
      <c r="A34" s="80"/>
      <c r="B34" s="81"/>
      <c r="C34" s="81"/>
      <c r="D34" s="82"/>
      <c r="E34" s="20"/>
      <c r="F34" s="63"/>
      <c r="G34" s="63"/>
      <c r="H34" s="63"/>
      <c r="I34" s="45"/>
      <c r="J34" s="20"/>
      <c r="K34" s="180"/>
      <c r="L34" s="180"/>
      <c r="M34" s="180"/>
      <c r="N34" s="180"/>
      <c r="O34" s="180"/>
      <c r="P34" s="224"/>
      <c r="Q34" s="80"/>
      <c r="R34" s="81"/>
      <c r="S34" s="81"/>
      <c r="T34" s="82"/>
      <c r="U34" s="20"/>
      <c r="V34" s="63"/>
      <c r="W34" s="63"/>
      <c r="X34" s="63"/>
      <c r="Y34" s="45"/>
      <c r="Z34" s="20"/>
      <c r="AA34" s="180"/>
      <c r="AB34" s="180"/>
      <c r="AC34" s="180"/>
      <c r="AD34" s="180"/>
      <c r="AE34" s="180"/>
      <c r="AF34" s="224"/>
      <c r="AI34" s="315"/>
      <c r="AJ34" s="316"/>
      <c r="AK34" s="77"/>
      <c r="AL34" s="128"/>
      <c r="AM34" s="129"/>
      <c r="AP34" s="87"/>
      <c r="AQ34" s="87"/>
      <c r="AT34" s="77"/>
      <c r="AU34" s="256"/>
      <c r="AV34" s="257"/>
      <c r="AW34" s="258"/>
      <c r="AX34" s="77"/>
      <c r="AY34" s="77"/>
      <c r="AZ34" s="77"/>
      <c r="BA34" s="77"/>
      <c r="BB34" s="77"/>
      <c r="BC34" s="77"/>
      <c r="BD34" s="77"/>
      <c r="BE34" s="77"/>
      <c r="BF34" s="77"/>
      <c r="BG34" s="77"/>
    </row>
    <row r="35" spans="1:59" ht="12.75">
      <c r="A35" s="165" t="s">
        <v>70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7"/>
      <c r="Q35" s="165" t="s">
        <v>70</v>
      </c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7"/>
      <c r="AI35" s="315"/>
      <c r="AJ35" s="316"/>
      <c r="AK35" s="77"/>
      <c r="AL35" s="120">
        <v>0.0001</v>
      </c>
      <c r="AM35" s="121">
        <f>ROUND(DetrConiuge-(Ind*Rapp),2)</f>
        <v>800</v>
      </c>
      <c r="AO35">
        <f>IF(AP35&gt;0,1,0)</f>
        <v>0</v>
      </c>
      <c r="AP35" s="87"/>
      <c r="AQ35" s="87">
        <v>200</v>
      </c>
      <c r="AT35" s="77"/>
      <c r="AU35" s="256"/>
      <c r="AV35" s="257"/>
      <c r="AW35" s="258"/>
      <c r="AX35" s="77"/>
      <c r="AY35" s="77"/>
      <c r="AZ35" s="77"/>
      <c r="BA35" s="77"/>
      <c r="BB35" s="77"/>
      <c r="BC35" s="77"/>
      <c r="BD35" s="77"/>
      <c r="BE35" s="77"/>
      <c r="BF35" s="77"/>
      <c r="BG35" s="77"/>
    </row>
    <row r="36" spans="1:59" ht="12.75">
      <c r="A36" s="290" t="s">
        <v>32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2"/>
      <c r="Q36" s="290" t="s">
        <v>32</v>
      </c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2"/>
      <c r="AH36" s="184" t="s">
        <v>62</v>
      </c>
      <c r="AI36" s="315"/>
      <c r="AJ36" s="316"/>
      <c r="AK36" s="77"/>
      <c r="AL36" s="122">
        <v>1</v>
      </c>
      <c r="AM36" s="121">
        <f>+DetrRid</f>
        <v>690</v>
      </c>
      <c r="AO36">
        <f>IF(AP36&gt;0,1,0)</f>
        <v>0</v>
      </c>
      <c r="AP36" s="87"/>
      <c r="AQ36" s="87">
        <v>1500</v>
      </c>
      <c r="AT36" s="77"/>
      <c r="AU36" s="256"/>
      <c r="AV36" s="257"/>
      <c r="AW36" s="258"/>
      <c r="AX36" s="77"/>
      <c r="AY36" s="77"/>
      <c r="AZ36" s="77"/>
      <c r="BA36" s="77"/>
      <c r="BB36" s="77"/>
      <c r="BC36" s="77"/>
      <c r="BD36" s="77"/>
      <c r="BE36" s="77"/>
      <c r="BF36" s="77"/>
      <c r="BG36" s="77"/>
    </row>
    <row r="37" spans="1:59" ht="12.75">
      <c r="A37" s="225" t="s">
        <v>19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7"/>
      <c r="M37" s="3">
        <f>ROUND(AC37/12,0)</f>
        <v>0</v>
      </c>
      <c r="N37" s="20"/>
      <c r="O37" s="20"/>
      <c r="P37" s="62"/>
      <c r="Q37" s="225" t="s">
        <v>19</v>
      </c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7"/>
      <c r="AC37" s="3">
        <f>IF(CNG="SI",ROUND((VLOOKUP(Redd_Detraz,ConDetr,3)+VLOOKUP(Redd_Detraz,LettB,3))/12*Me_co,2),0)</f>
        <v>0</v>
      </c>
      <c r="AD37" s="20"/>
      <c r="AE37" s="20"/>
      <c r="AF37" s="62"/>
      <c r="AH37" s="184"/>
      <c r="AI37" s="315"/>
      <c r="AJ37" s="316"/>
      <c r="AK37" s="77"/>
      <c r="AL37" s="123">
        <v>10</v>
      </c>
      <c r="AM37" s="124">
        <f>ROUND(DetrConiuge-(Ind*Rapp),2)</f>
        <v>800</v>
      </c>
      <c r="AO37">
        <f>SUM(AO18:AO36)</f>
        <v>0</v>
      </c>
      <c r="AT37" s="77"/>
      <c r="AU37" s="256"/>
      <c r="AV37" s="257"/>
      <c r="AW37" s="258"/>
      <c r="AX37" s="77"/>
      <c r="AY37" s="77"/>
      <c r="AZ37" s="77"/>
      <c r="BA37" s="77"/>
      <c r="BB37" s="77"/>
      <c r="BC37" s="77"/>
      <c r="BD37" s="77"/>
      <c r="BE37" s="77"/>
      <c r="BF37" s="77"/>
      <c r="BG37" s="77"/>
    </row>
    <row r="38" spans="1:59" ht="13.5" thickBot="1">
      <c r="A38" s="225" t="s">
        <v>42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7"/>
      <c r="M38" s="3">
        <f>ROUND(AC38/12,0)</f>
        <v>0</v>
      </c>
      <c r="N38" s="20"/>
      <c r="O38" s="20"/>
      <c r="P38" s="62"/>
      <c r="Q38" s="225" t="s">
        <v>42</v>
      </c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7"/>
      <c r="AC38" s="3">
        <f>SUMIF(AB25:AB31,"&gt;0")</f>
        <v>0</v>
      </c>
      <c r="AD38" s="20"/>
      <c r="AE38" s="20"/>
      <c r="AF38" s="62"/>
      <c r="AH38" s="109">
        <f>IF(Lordo&gt;0,ROUND((VLOOKUP(Redd_Detraz,ConDetr,3)+VLOOKUP(Redd_Detraz,LettB,3)),5),0)</f>
        <v>0</v>
      </c>
      <c r="AI38" s="315"/>
      <c r="AJ38" s="110">
        <v>40000</v>
      </c>
      <c r="AK38" s="77"/>
      <c r="AL38" s="125"/>
      <c r="AM38" s="126">
        <f>+DetrRid</f>
        <v>690</v>
      </c>
      <c r="AT38" s="77"/>
      <c r="AU38" s="259"/>
      <c r="AV38" s="260"/>
      <c r="AW38" s="261"/>
      <c r="AX38" s="77"/>
      <c r="AY38" s="77"/>
      <c r="AZ38" s="77"/>
      <c r="BA38" s="77"/>
      <c r="BB38" s="77"/>
      <c r="BC38" s="77"/>
      <c r="BD38" s="77"/>
      <c r="BE38" s="77"/>
      <c r="BF38" s="77"/>
      <c r="BG38" s="77"/>
    </row>
    <row r="39" spans="1:59" ht="13.5" thickTop="1">
      <c r="A39" s="225" t="s">
        <v>56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7"/>
      <c r="M39" s="3">
        <f>IF(D33&gt;0,IF(P33&gt;0,ROUND(AC39/12,0),0),0)</f>
        <v>0</v>
      </c>
      <c r="N39" s="20"/>
      <c r="O39" s="20"/>
      <c r="P39" s="62"/>
      <c r="Q39" s="225" t="s">
        <v>56</v>
      </c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7"/>
      <c r="AC39" s="3">
        <f>IF(T33&gt;0,ROUND(dsaltri*T33/12*Y33/AF33,2),0)</f>
        <v>0</v>
      </c>
      <c r="AD39" s="20"/>
      <c r="AE39" s="20"/>
      <c r="AF39" s="62"/>
      <c r="AI39" s="315"/>
      <c r="AJ39" s="316">
        <v>80000</v>
      </c>
      <c r="AK39" s="77"/>
      <c r="AL39" s="118">
        <v>0</v>
      </c>
      <c r="AM39" s="119">
        <v>0</v>
      </c>
      <c r="AP39">
        <f>IF(AO37&gt;0,IF(VLOOKUP(AP42,abi,2)&lt;DetrRid,DetrRid,VLOOKUP(AP42,abi,2)),0)</f>
        <v>0</v>
      </c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</row>
    <row r="40" spans="1:59" ht="12.75">
      <c r="A40" s="172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4"/>
      <c r="Q40" s="172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4"/>
      <c r="AH40" s="184" t="s">
        <v>63</v>
      </c>
      <c r="AI40" s="315"/>
      <c r="AJ40" s="316"/>
      <c r="AK40" s="77"/>
      <c r="AL40" s="120">
        <v>0.0001</v>
      </c>
      <c r="AM40" s="121">
        <f>ROUND(DetrRid*Rap1,2)</f>
        <v>1380</v>
      </c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</row>
    <row r="41" spans="1:59" ht="12.75">
      <c r="A41" s="225" t="s">
        <v>76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7"/>
      <c r="M41" s="3">
        <f>SUM(M37:M39)</f>
        <v>0</v>
      </c>
      <c r="N41" s="20"/>
      <c r="O41" s="20"/>
      <c r="P41" s="62"/>
      <c r="Q41" s="225" t="s">
        <v>76</v>
      </c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7"/>
      <c r="AC41" s="3">
        <f>SUM(AC37:AC39)</f>
        <v>0</v>
      </c>
      <c r="AD41" s="20"/>
      <c r="AE41" s="20"/>
      <c r="AF41" s="62"/>
      <c r="AH41" s="184"/>
      <c r="AI41" s="315"/>
      <c r="AJ41" s="316"/>
      <c r="AK41" s="77"/>
      <c r="AL41" s="122">
        <v>1</v>
      </c>
      <c r="AM41" s="121">
        <f>ROUND(DetrRid*Rap1,2)</f>
        <v>1380</v>
      </c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</row>
    <row r="42" spans="1:59" ht="12.75">
      <c r="A42" s="165" t="s">
        <v>71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7"/>
      <c r="Q42" s="165" t="s">
        <v>71</v>
      </c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7"/>
      <c r="AH42" s="106">
        <f>dsfig+IF($V$25&gt;0,dsfg3-dsfig,0)+IF($Y$25&gt;0,dsfhc,0)</f>
        <v>0</v>
      </c>
      <c r="AI42" s="315"/>
      <c r="AJ42" s="316"/>
      <c r="AK42" s="77"/>
      <c r="AL42" s="123">
        <v>10</v>
      </c>
      <c r="AM42" s="124">
        <f>ROUND(DetrRid*Rap1,2)</f>
        <v>1380</v>
      </c>
      <c r="AP42" t="s">
        <v>58</v>
      </c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</row>
    <row r="43" spans="1:59" ht="12.75">
      <c r="A43" s="155" t="s">
        <v>73</v>
      </c>
      <c r="B43" s="156"/>
      <c r="C43" s="156"/>
      <c r="D43" s="156"/>
      <c r="E43" s="156"/>
      <c r="F43" s="157"/>
      <c r="G43" s="46" t="str">
        <f>IF(E17&gt;0,IF(G44&gt;0,Vuota1,"x"),Vuota1)</f>
        <v>        </v>
      </c>
      <c r="H43" s="63"/>
      <c r="I43" s="312" t="s">
        <v>141</v>
      </c>
      <c r="J43" s="158"/>
      <c r="K43" s="158"/>
      <c r="L43" s="158"/>
      <c r="M43" s="2">
        <v>30</v>
      </c>
      <c r="N43" s="20"/>
      <c r="O43" s="20"/>
      <c r="P43" s="62"/>
      <c r="Q43" s="155" t="s">
        <v>73</v>
      </c>
      <c r="R43" s="156"/>
      <c r="S43" s="156"/>
      <c r="T43" s="156"/>
      <c r="U43" s="156"/>
      <c r="V43" s="157"/>
      <c r="W43" s="46" t="str">
        <f>IF(W44&gt;0,Vuota1,"x")</f>
        <v>x</v>
      </c>
      <c r="X43" s="63"/>
      <c r="Y43" s="312" t="s">
        <v>75</v>
      </c>
      <c r="Z43" s="158"/>
      <c r="AA43" s="158"/>
      <c r="AB43" s="158"/>
      <c r="AC43" s="2">
        <v>365</v>
      </c>
      <c r="AD43" s="20"/>
      <c r="AE43" s="20"/>
      <c r="AF43" s="62"/>
      <c r="AI43" s="315"/>
      <c r="AJ43" s="114">
        <v>1000000000</v>
      </c>
      <c r="AK43" s="77"/>
      <c r="AL43" s="130">
        <v>0</v>
      </c>
      <c r="AM43" s="124">
        <v>0</v>
      </c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</row>
    <row r="44" spans="1:59" ht="12.75">
      <c r="A44" s="67" t="s">
        <v>74</v>
      </c>
      <c r="B44" s="68"/>
      <c r="C44" s="68"/>
      <c r="D44" s="68"/>
      <c r="E44" s="68"/>
      <c r="F44" s="20"/>
      <c r="G44" s="2"/>
      <c r="H44" s="63"/>
      <c r="I44" s="63"/>
      <c r="J44" s="63"/>
      <c r="K44" s="158" t="s">
        <v>77</v>
      </c>
      <c r="L44" s="158"/>
      <c r="M44" s="158"/>
      <c r="N44" s="159"/>
      <c r="O44" s="39">
        <f>IF(E17&gt;0,ROUND(AE44/365*M43,0),0)</f>
        <v>0</v>
      </c>
      <c r="P44" s="62"/>
      <c r="Q44" s="67" t="s">
        <v>74</v>
      </c>
      <c r="R44" s="68"/>
      <c r="S44" s="68"/>
      <c r="T44" s="68"/>
      <c r="U44" s="68"/>
      <c r="V44" s="20"/>
      <c r="W44" s="2">
        <f>+G44</f>
        <v>0</v>
      </c>
      <c r="X44" s="63"/>
      <c r="Y44" s="63"/>
      <c r="Z44" s="63"/>
      <c r="AA44" s="158" t="s">
        <v>77</v>
      </c>
      <c r="AB44" s="158"/>
      <c r="AC44" s="158"/>
      <c r="AD44" s="159"/>
      <c r="AE44" s="39">
        <f>IF(Lordo&gt;0,IF(W44&gt;0,IF(Redd_Detraz&lt;8000.01,IF(AH44&gt;AH47,AH44,AH47),AH44),IF(Redd_Detraz&lt;8000.01,IF(AH44&gt;AH46,AH44,AH46),AH44)),0)</f>
        <v>0</v>
      </c>
      <c r="AF44" s="62"/>
      <c r="AH44" s="373">
        <f>IF(Redd_Detraz&gt;0,ROUND((VLOOKUP(Redd_Detraz,Altre_detraz,2)/365*AC43+VLOOKUP(Redd_Detraz,Aum_altre,2)),5),0)</f>
        <v>0</v>
      </c>
      <c r="AI44" s="315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</row>
    <row r="45" spans="1:59" ht="12.75" customHeight="1" thickBot="1">
      <c r="A45" s="6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70"/>
      <c r="Q45" s="69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70"/>
      <c r="AI45" s="315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</row>
    <row r="46" spans="1:59" ht="12.75" customHeight="1" thickBot="1">
      <c r="A46" s="220" t="s">
        <v>142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2"/>
      <c r="O46" s="228">
        <f>+E17-L18</f>
        <v>0</v>
      </c>
      <c r="P46" s="228"/>
      <c r="Q46" s="71" t="s">
        <v>20</v>
      </c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228">
        <f>+Reddito_imponibile_mensile+Gratif_Anno</f>
        <v>0</v>
      </c>
      <c r="AF46" s="228"/>
      <c r="AH46" s="106">
        <v>690</v>
      </c>
      <c r="AI46" s="315"/>
      <c r="AJ46" s="106">
        <v>0.001</v>
      </c>
      <c r="AK46" s="87"/>
      <c r="AL46" s="106">
        <f>VLOOKUP(Rapp,quin,2)</f>
        <v>0</v>
      </c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</row>
    <row r="47" spans="1:59" ht="12.75" customHeight="1" thickBot="1">
      <c r="A47" s="220" t="s">
        <v>143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2"/>
      <c r="O47" s="162">
        <f>ROUND(IreTab/12,5)</f>
        <v>0</v>
      </c>
      <c r="P47" s="162"/>
      <c r="Q47" s="35" t="s">
        <v>60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14">
        <f>IF(Lordo&gt;0,IF(Reddito_imponibile_mensile&gt;0,ROUND((Reddito_imponibile_mensile-VLOOKUP(Reddito_imponibile_mensile,Aliquote,1))*VLOOKUP(Reddito_imponibile_mensile,Aliquote,3),5)+VLOOKUP(Reddito_imponibile_mensile,Aliquote,4),0)+IF(Gratif_Anno&gt;0,ROUND(Gratif_Anno*VLOOKUP(ReddNetto,Aliquote,3),5),0),0)</f>
        <v>0</v>
      </c>
      <c r="AF47" s="314"/>
      <c r="AH47" s="106">
        <v>1380</v>
      </c>
      <c r="AI47" s="315"/>
      <c r="AJ47" s="106">
        <v>15000</v>
      </c>
      <c r="AK47" s="87"/>
      <c r="AL47" s="106">
        <f>+DetrRid</f>
        <v>690</v>
      </c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</row>
    <row r="48" spans="1:59" ht="13.5" thickBot="1">
      <c r="A48" s="220" t="s">
        <v>144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2"/>
      <c r="O48" s="162">
        <f>+M41+O44</f>
        <v>0</v>
      </c>
      <c r="P48" s="162"/>
      <c r="Q48" s="37" t="s">
        <v>36</v>
      </c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162">
        <f>+AC41+AE44</f>
        <v>0</v>
      </c>
      <c r="AF48" s="162"/>
      <c r="AI48" s="315"/>
      <c r="AJ48" s="106">
        <v>40000</v>
      </c>
      <c r="AK48" s="87"/>
      <c r="AL48" s="106">
        <f>VLOOKUP(Rap1,ottan,2)</f>
        <v>1380</v>
      </c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</row>
    <row r="49" spans="1:59" ht="16.5" thickBot="1">
      <c r="A49" s="296" t="s">
        <v>147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97"/>
      <c r="O49" s="326">
        <f>IF(O47-O48&gt;0,O47-O48,0)</f>
        <v>0</v>
      </c>
      <c r="P49" s="178"/>
      <c r="Q49" s="71" t="s">
        <v>61</v>
      </c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177">
        <f>+AE47-AE48</f>
        <v>0</v>
      </c>
      <c r="AF49" s="178"/>
      <c r="AI49" s="315"/>
      <c r="AJ49" s="106">
        <v>80000</v>
      </c>
      <c r="AK49" s="87"/>
      <c r="AL49" s="106">
        <v>0</v>
      </c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</row>
    <row r="50" spans="1:59" ht="16.5" thickBot="1">
      <c r="A50" s="190" t="s">
        <v>146</v>
      </c>
      <c r="B50" s="190"/>
      <c r="C50" s="190"/>
      <c r="D50" s="190"/>
      <c r="E50" s="191" t="str">
        <f>IF(E17&gt;0,VLOOKUP(ReddNetto,Aliquote,3),Vuota1)</f>
        <v>        </v>
      </c>
      <c r="F50" s="191"/>
      <c r="G50" s="152"/>
      <c r="H50" s="152"/>
      <c r="I50" s="152"/>
      <c r="J50" s="152"/>
      <c r="K50" s="323" t="s">
        <v>131</v>
      </c>
      <c r="L50" s="323"/>
      <c r="M50" s="323"/>
      <c r="N50" s="323"/>
      <c r="O50" s="324">
        <f>+O49</f>
        <v>0</v>
      </c>
      <c r="P50" s="325"/>
      <c r="Q50" s="72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73"/>
      <c r="AI50" s="315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</row>
    <row r="51" spans="17:59" ht="12.75">
      <c r="Q51" s="57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62"/>
      <c r="AI51" s="315"/>
      <c r="AJ51" s="137">
        <v>0</v>
      </c>
      <c r="AK51" s="138"/>
      <c r="AL51" s="115">
        <v>0</v>
      </c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</row>
    <row r="52" spans="17:59" ht="13.5">
      <c r="Q52" s="168" t="s">
        <v>21</v>
      </c>
      <c r="R52" s="169"/>
      <c r="S52" s="169"/>
      <c r="T52" s="153"/>
      <c r="U52" s="163" t="s">
        <v>22</v>
      </c>
      <c r="V52" s="154"/>
      <c r="W52" s="164"/>
      <c r="X52" s="163" t="s">
        <v>23</v>
      </c>
      <c r="Y52" s="154"/>
      <c r="Z52" s="164"/>
      <c r="AA52" s="163" t="s">
        <v>24</v>
      </c>
      <c r="AB52" s="164"/>
      <c r="AC52" s="52" t="s">
        <v>25</v>
      </c>
      <c r="AD52" s="163" t="s">
        <v>26</v>
      </c>
      <c r="AE52" s="164"/>
      <c r="AF52" s="62"/>
      <c r="AI52" s="315"/>
      <c r="AJ52" s="139">
        <v>29000.01</v>
      </c>
      <c r="AK52" s="140"/>
      <c r="AL52" s="116">
        <v>10</v>
      </c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</row>
    <row r="53" spans="17:59" ht="12.75">
      <c r="Q53" s="163" t="s">
        <v>27</v>
      </c>
      <c r="R53" s="154"/>
      <c r="S53" s="154"/>
      <c r="T53" s="164"/>
      <c r="U53" s="53"/>
      <c r="V53" s="2">
        <v>1.4</v>
      </c>
      <c r="W53" s="53"/>
      <c r="X53" s="175">
        <f>+ReddNetto</f>
        <v>0</v>
      </c>
      <c r="Y53" s="219"/>
      <c r="Z53" s="176"/>
      <c r="AA53" s="175">
        <f>ROUND(X53*V53%,2)</f>
        <v>0</v>
      </c>
      <c r="AB53" s="176"/>
      <c r="AC53" s="2">
        <v>10</v>
      </c>
      <c r="AD53" s="175">
        <f>ROUND(AA53/AC53,2)</f>
        <v>0</v>
      </c>
      <c r="AE53" s="176"/>
      <c r="AF53" s="62"/>
      <c r="AI53" s="315"/>
      <c r="AJ53" s="139">
        <v>29200.01</v>
      </c>
      <c r="AK53" s="140"/>
      <c r="AL53" s="116">
        <v>20</v>
      </c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</row>
    <row r="54" spans="17:59" ht="12.75">
      <c r="Q54" s="163" t="s">
        <v>28</v>
      </c>
      <c r="R54" s="154"/>
      <c r="S54" s="154"/>
      <c r="T54" s="164"/>
      <c r="U54" s="53"/>
      <c r="V54" s="2">
        <v>0.4</v>
      </c>
      <c r="W54" s="53"/>
      <c r="X54" s="175">
        <f>+ReddNetto</f>
        <v>0</v>
      </c>
      <c r="Y54" s="219"/>
      <c r="Z54" s="176"/>
      <c r="AA54" s="175">
        <f>ROUND(X54*V54%,2)</f>
        <v>0</v>
      </c>
      <c r="AB54" s="176"/>
      <c r="AC54" s="52" t="s">
        <v>25</v>
      </c>
      <c r="AD54" s="163" t="s">
        <v>26</v>
      </c>
      <c r="AE54" s="164"/>
      <c r="AF54" s="62"/>
      <c r="AI54" s="315"/>
      <c r="AJ54" s="139">
        <v>34700.01</v>
      </c>
      <c r="AK54" s="140"/>
      <c r="AL54" s="116">
        <v>30</v>
      </c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</row>
    <row r="55" spans="17:59" ht="12.75">
      <c r="Q55" s="282" t="s">
        <v>87</v>
      </c>
      <c r="R55" s="282"/>
      <c r="S55" s="84">
        <v>16</v>
      </c>
      <c r="T55" s="282" t="s">
        <v>88</v>
      </c>
      <c r="U55" s="282"/>
      <c r="V55" s="282"/>
      <c r="W55" s="282"/>
      <c r="X55" s="283" t="s">
        <v>89</v>
      </c>
      <c r="Y55" s="283"/>
      <c r="Z55" s="50" t="s">
        <v>79</v>
      </c>
      <c r="AA55" s="51"/>
      <c r="AB55" s="39">
        <f>ROUND(AA54*30%,2)</f>
        <v>0</v>
      </c>
      <c r="AC55" s="2">
        <v>10</v>
      </c>
      <c r="AD55" s="175">
        <f>ROUND(AB55/AC55,2)</f>
        <v>0</v>
      </c>
      <c r="AE55" s="176"/>
      <c r="AF55" s="62"/>
      <c r="AI55" s="315"/>
      <c r="AJ55" s="139">
        <v>35000.01</v>
      </c>
      <c r="AK55" s="140"/>
      <c r="AL55" s="116">
        <v>20</v>
      </c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</row>
    <row r="56" spans="17:59" ht="12.75">
      <c r="Q56" s="57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62"/>
      <c r="AI56" s="315"/>
      <c r="AJ56" s="139">
        <v>35100.01</v>
      </c>
      <c r="AK56" s="140"/>
      <c r="AL56" s="116">
        <v>10</v>
      </c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</row>
    <row r="57" spans="17:59" ht="12.75" customHeight="1" thickBot="1">
      <c r="Q57" s="57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62"/>
      <c r="AI57" s="315"/>
      <c r="AJ57" s="141">
        <v>35200.01</v>
      </c>
      <c r="AK57" s="142"/>
      <c r="AL57" s="117">
        <v>0</v>
      </c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</row>
    <row r="58" spans="17:59" ht="12.75">
      <c r="Q58" s="74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</row>
    <row r="59" spans="35:39" ht="12.75">
      <c r="AI59" t="s">
        <v>46</v>
      </c>
      <c r="AJ59" s="19" t="s">
        <v>47</v>
      </c>
      <c r="AK59" s="171" t="s">
        <v>52</v>
      </c>
      <c r="AL59" s="18" t="s">
        <v>48</v>
      </c>
      <c r="AM59" s="18" t="s">
        <v>53</v>
      </c>
    </row>
    <row r="60" spans="36:39" ht="12.75">
      <c r="AJ60" s="86">
        <v>95000</v>
      </c>
      <c r="AK60" s="171"/>
      <c r="AL60" s="106">
        <v>15000</v>
      </c>
      <c r="AM60" s="106">
        <f>IF(AK61&gt;1,ROUND((AK61-1)*AL60,2)+AJ60,AJ60)</f>
        <v>95000</v>
      </c>
    </row>
    <row r="61" spans="36:41" ht="12.75">
      <c r="AJ61" s="18" t="s">
        <v>55</v>
      </c>
      <c r="AK61" s="87">
        <f>+N_Fgl</f>
        <v>0</v>
      </c>
      <c r="AL61" s="18" t="s">
        <v>54</v>
      </c>
      <c r="AM61" s="18" t="s">
        <v>45</v>
      </c>
      <c r="AN61" s="18"/>
      <c r="AO61" s="18" t="s">
        <v>41</v>
      </c>
    </row>
    <row r="62" spans="35:44" ht="12.75">
      <c r="AI62" t="s">
        <v>51</v>
      </c>
      <c r="AJ62" s="106">
        <f>IF(Som_fg&gt;3,1000,800)</f>
        <v>800</v>
      </c>
      <c r="AL62" s="106">
        <f>ROUND(fgl*VLOOKUP($AO$62,IndRapp,2),2)</f>
        <v>0</v>
      </c>
      <c r="AM62" s="112">
        <v>0</v>
      </c>
      <c r="AN62" s="77">
        <v>0</v>
      </c>
      <c r="AO62" s="83">
        <f>ROUND((ImFisFin-Redd_Detraz)/ImFisFin,6)</f>
        <v>1</v>
      </c>
      <c r="AQ62" s="87">
        <f>+dsfig</f>
        <v>0</v>
      </c>
      <c r="AR62" s="87">
        <f>+AQ62</f>
        <v>0</v>
      </c>
    </row>
    <row r="63" spans="35:44" ht="12.75">
      <c r="AI63" t="s">
        <v>49</v>
      </c>
      <c r="AJ63" s="106">
        <f>IF(Som_fg&gt;3,1100,900)</f>
        <v>900</v>
      </c>
      <c r="AL63" s="106">
        <f>ROUND(AJ63*VLOOKUP($AO$62,IndRapp,2),2)</f>
        <v>0</v>
      </c>
      <c r="AM63" s="113">
        <v>0.0001</v>
      </c>
      <c r="AN63" s="77">
        <f>+AO62</f>
        <v>1</v>
      </c>
      <c r="AQ63" s="87">
        <f>+dsfg3</f>
        <v>0</v>
      </c>
      <c r="AR63" s="87">
        <f>+AQ63</f>
        <v>0</v>
      </c>
    </row>
    <row r="64" spans="35:44" ht="12.75">
      <c r="AI64" t="s">
        <v>50</v>
      </c>
      <c r="AJ64" s="106">
        <v>220</v>
      </c>
      <c r="AL64" s="106">
        <f>ROUND(fglh*VLOOKUP($AO$62,IndRapp,2),2)</f>
        <v>0</v>
      </c>
      <c r="AM64" s="110">
        <v>1</v>
      </c>
      <c r="AN64" s="77">
        <v>0</v>
      </c>
      <c r="AQ64" s="87">
        <f>+dsfhc</f>
        <v>0</v>
      </c>
      <c r="AR64" s="87">
        <f>+AQ64</f>
        <v>0</v>
      </c>
    </row>
    <row r="65" spans="38:40" ht="12.75">
      <c r="AL65" s="85"/>
      <c r="AM65" s="110">
        <v>10</v>
      </c>
      <c r="AN65" s="77">
        <f>+AO62</f>
        <v>1</v>
      </c>
    </row>
    <row r="66" spans="35:38" ht="12.75">
      <c r="AI66" t="s">
        <v>57</v>
      </c>
      <c r="AJ66" s="87">
        <v>750</v>
      </c>
      <c r="AL66" s="106">
        <f>ROUND(Altri*VLOOKUP(AO67,Rapp_Altri,2),4)</f>
        <v>0</v>
      </c>
    </row>
    <row r="67" ht="12.75">
      <c r="AO67" s="83">
        <f>TRUNC((80000-Redd_Detraz)/80000,6)</f>
        <v>1</v>
      </c>
    </row>
    <row r="68" spans="35:41" ht="12.75">
      <c r="AI68" t="s">
        <v>72</v>
      </c>
      <c r="AL68" t="s">
        <v>41</v>
      </c>
      <c r="AN68" s="131">
        <v>0</v>
      </c>
      <c r="AO68" s="87">
        <v>0</v>
      </c>
    </row>
    <row r="69" spans="35:41" ht="12.75">
      <c r="AI69" s="106">
        <v>1</v>
      </c>
      <c r="AJ69" s="106">
        <v>1840</v>
      </c>
      <c r="AL69" s="83">
        <f>IF(ROUND((15000-Redd_Detraz)/7000,6)&gt;0,ROUND((15000-Redd_Detraz)/7000,6),0)</f>
        <v>2.142857</v>
      </c>
      <c r="AN69" s="132">
        <v>0.0001</v>
      </c>
      <c r="AO69" s="133">
        <f>+AO67</f>
        <v>1</v>
      </c>
    </row>
    <row r="70" spans="35:41" ht="12.75">
      <c r="AI70" s="106">
        <v>8000.01</v>
      </c>
      <c r="AJ70" s="106">
        <f>1338+ROUND(502*AL69,2)</f>
        <v>2413.71</v>
      </c>
      <c r="AL70">
        <f>ROUND((55000-Redd_Detraz)/40000,6)</f>
        <v>1.375</v>
      </c>
      <c r="AN70" s="107">
        <v>1</v>
      </c>
      <c r="AO70" s="87">
        <v>0</v>
      </c>
    </row>
    <row r="71" spans="35:41" ht="12.75">
      <c r="AI71" s="106">
        <v>15000.01</v>
      </c>
      <c r="AJ71" s="106">
        <f>ROUND(1338*AL70,2)</f>
        <v>1839.75</v>
      </c>
      <c r="AN71" s="107">
        <v>10</v>
      </c>
      <c r="AO71" s="133">
        <f>+AO67</f>
        <v>1</v>
      </c>
    </row>
    <row r="72" spans="35:41" ht="12.75">
      <c r="AI72" s="106">
        <v>55000.01</v>
      </c>
      <c r="AJ72" s="106">
        <v>0</v>
      </c>
      <c r="AN72" s="12"/>
      <c r="AO72" s="83"/>
    </row>
    <row r="73" spans="35:36" ht="12.75">
      <c r="AI73" s="106">
        <v>100000000</v>
      </c>
      <c r="AJ73" s="106">
        <v>0</v>
      </c>
    </row>
    <row r="75" spans="35:36" ht="12.75">
      <c r="AI75" s="108">
        <v>0</v>
      </c>
      <c r="AJ75" s="87">
        <v>0</v>
      </c>
    </row>
    <row r="76" spans="35:36" ht="12.75">
      <c r="AI76" s="108">
        <v>23000.01</v>
      </c>
      <c r="AJ76" s="87">
        <v>10</v>
      </c>
    </row>
    <row r="77" spans="35:36" ht="12.75">
      <c r="AI77" s="108">
        <v>24000.01</v>
      </c>
      <c r="AJ77" s="87">
        <v>20</v>
      </c>
    </row>
    <row r="78" spans="35:36" ht="12.75">
      <c r="AI78" s="108">
        <v>25000.01</v>
      </c>
      <c r="AJ78" s="87">
        <v>30</v>
      </c>
    </row>
    <row r="79" spans="35:36" ht="12.75">
      <c r="AI79" s="108">
        <v>26000.01</v>
      </c>
      <c r="AJ79" s="87">
        <v>40</v>
      </c>
    </row>
    <row r="80" spans="35:36" ht="12.75">
      <c r="AI80" s="108">
        <v>27700.01</v>
      </c>
      <c r="AJ80" s="87">
        <v>25</v>
      </c>
    </row>
    <row r="81" spans="1:36" ht="12.75">
      <c r="A81" s="4"/>
      <c r="AI81" s="108">
        <v>28000.01</v>
      </c>
      <c r="AJ81" s="87">
        <v>0</v>
      </c>
    </row>
    <row r="111" ht="12.75">
      <c r="A111" s="4" t="s">
        <v>100</v>
      </c>
    </row>
    <row r="124" ht="12.75">
      <c r="A124" s="90"/>
    </row>
  </sheetData>
  <sheetProtection password="BE24" sheet="1" objects="1" scenarios="1" selectLockedCells="1"/>
  <mergeCells count="164">
    <mergeCell ref="A48:N48"/>
    <mergeCell ref="A49:N49"/>
    <mergeCell ref="A50:D50"/>
    <mergeCell ref="E50:F50"/>
    <mergeCell ref="K50:N50"/>
    <mergeCell ref="A47:N47"/>
    <mergeCell ref="Q16:T16"/>
    <mergeCell ref="U16:W16"/>
    <mergeCell ref="H17:K17"/>
    <mergeCell ref="H16:K16"/>
    <mergeCell ref="A16:D16"/>
    <mergeCell ref="E16:G16"/>
    <mergeCell ref="H18:K18"/>
    <mergeCell ref="A17:D17"/>
    <mergeCell ref="Q37:AB37"/>
    <mergeCell ref="AD5:AF5"/>
    <mergeCell ref="AU30:AW38"/>
    <mergeCell ref="A15:D15"/>
    <mergeCell ref="A14:D14"/>
    <mergeCell ref="U14:W14"/>
    <mergeCell ref="E17:G17"/>
    <mergeCell ref="A20:P20"/>
    <mergeCell ref="X16:AA16"/>
    <mergeCell ref="A21:C21"/>
    <mergeCell ref="AC16:AD16"/>
    <mergeCell ref="Z4:AA4"/>
    <mergeCell ref="V6:Z6"/>
    <mergeCell ref="AB6:AC6"/>
    <mergeCell ref="T6:U6"/>
    <mergeCell ref="X15:AA15"/>
    <mergeCell ref="U9:W9"/>
    <mergeCell ref="X7:AB7"/>
    <mergeCell ref="X9:AA9"/>
    <mergeCell ref="X10:AA10"/>
    <mergeCell ref="U8:W8"/>
    <mergeCell ref="X8:AA8"/>
    <mergeCell ref="AU1:AW2"/>
    <mergeCell ref="AU21:AW25"/>
    <mergeCell ref="AU4:AW4"/>
    <mergeCell ref="AU5:AW5"/>
    <mergeCell ref="AU3:AW3"/>
    <mergeCell ref="T55:W55"/>
    <mergeCell ref="X55:Y55"/>
    <mergeCell ref="X14:AA14"/>
    <mergeCell ref="U13:W13"/>
    <mergeCell ref="X13:AA13"/>
    <mergeCell ref="X17:AA17"/>
    <mergeCell ref="X54:Z54"/>
    <mergeCell ref="U17:W17"/>
    <mergeCell ref="Q41:AB41"/>
    <mergeCell ref="Q38:AB38"/>
    <mergeCell ref="Q33:S33"/>
    <mergeCell ref="Q21:S21"/>
    <mergeCell ref="Q43:V43"/>
    <mergeCell ref="Q39:AB39"/>
    <mergeCell ref="Q36:AF36"/>
    <mergeCell ref="AF25:AF27"/>
    <mergeCell ref="R24:T24"/>
    <mergeCell ref="U24:W24"/>
    <mergeCell ref="X24:Z24"/>
    <mergeCell ref="Q35:AF35"/>
    <mergeCell ref="AC25:AE27"/>
    <mergeCell ref="AA33:AE34"/>
    <mergeCell ref="AD52:AE52"/>
    <mergeCell ref="AE48:AF48"/>
    <mergeCell ref="AE46:AF46"/>
    <mergeCell ref="Y43:AB43"/>
    <mergeCell ref="AA44:AD44"/>
    <mergeCell ref="X52:Z52"/>
    <mergeCell ref="AD55:AE55"/>
    <mergeCell ref="AD54:AE54"/>
    <mergeCell ref="Q42:AF42"/>
    <mergeCell ref="Q52:T52"/>
    <mergeCell ref="AA53:AB53"/>
    <mergeCell ref="X53:Z53"/>
    <mergeCell ref="U52:W52"/>
    <mergeCell ref="Q53:T53"/>
    <mergeCell ref="Q54:T54"/>
    <mergeCell ref="Q55:R55"/>
    <mergeCell ref="Q3:AF3"/>
    <mergeCell ref="T5:Y5"/>
    <mergeCell ref="Z5:AB5"/>
    <mergeCell ref="AK59:AK60"/>
    <mergeCell ref="Q40:AF40"/>
    <mergeCell ref="AA54:AB54"/>
    <mergeCell ref="AE49:AF49"/>
    <mergeCell ref="AE47:AF47"/>
    <mergeCell ref="AA52:AB52"/>
    <mergeCell ref="AD53:AE53"/>
    <mergeCell ref="AH36:AH37"/>
    <mergeCell ref="AH40:AH41"/>
    <mergeCell ref="AI1:AL1"/>
    <mergeCell ref="AI12:AM12"/>
    <mergeCell ref="AI19:AI57"/>
    <mergeCell ref="AJ19:AJ37"/>
    <mergeCell ref="AJ39:AJ42"/>
    <mergeCell ref="Q1:AF1"/>
    <mergeCell ref="Q2:AF2"/>
    <mergeCell ref="AF33:AF34"/>
    <mergeCell ref="U15:W15"/>
    <mergeCell ref="Q7:W7"/>
    <mergeCell ref="Q6:S6"/>
    <mergeCell ref="Q20:AF20"/>
    <mergeCell ref="U10:W10"/>
    <mergeCell ref="U11:W11"/>
    <mergeCell ref="U12:W12"/>
    <mergeCell ref="N5:P5"/>
    <mergeCell ref="A1:P1"/>
    <mergeCell ref="A2:P2"/>
    <mergeCell ref="A3:P3"/>
    <mergeCell ref="J4:K4"/>
    <mergeCell ref="B4:G4"/>
    <mergeCell ref="E8:G8"/>
    <mergeCell ref="H8:K8"/>
    <mergeCell ref="D5:I5"/>
    <mergeCell ref="J5:L5"/>
    <mergeCell ref="C6:G6"/>
    <mergeCell ref="A7:G7"/>
    <mergeCell ref="H7:L7"/>
    <mergeCell ref="A6:B6"/>
    <mergeCell ref="I6:K6"/>
    <mergeCell ref="E13:G13"/>
    <mergeCell ref="E14:G14"/>
    <mergeCell ref="E15:G15"/>
    <mergeCell ref="H15:K15"/>
    <mergeCell ref="H14:K14"/>
    <mergeCell ref="H13:K13"/>
    <mergeCell ref="A33:C33"/>
    <mergeCell ref="K33:O34"/>
    <mergeCell ref="P33:P34"/>
    <mergeCell ref="M28:P29"/>
    <mergeCell ref="M25:O27"/>
    <mergeCell ref="B24:D24"/>
    <mergeCell ref="E24:G24"/>
    <mergeCell ref="P25:P27"/>
    <mergeCell ref="A43:F43"/>
    <mergeCell ref="I43:L43"/>
    <mergeCell ref="K44:N44"/>
    <mergeCell ref="O46:P46"/>
    <mergeCell ref="A46:N46"/>
    <mergeCell ref="M6:P6"/>
    <mergeCell ref="O47:P47"/>
    <mergeCell ref="A39:L39"/>
    <mergeCell ref="A40:P40"/>
    <mergeCell ref="A41:L41"/>
    <mergeCell ref="A42:P42"/>
    <mergeCell ref="A35:P35"/>
    <mergeCell ref="A36:P36"/>
    <mergeCell ref="E11:G11"/>
    <mergeCell ref="E12:G12"/>
    <mergeCell ref="E9:G9"/>
    <mergeCell ref="H9:K9"/>
    <mergeCell ref="E10:G10"/>
    <mergeCell ref="H10:K10"/>
    <mergeCell ref="O50:P50"/>
    <mergeCell ref="X12:AA12"/>
    <mergeCell ref="H11:K11"/>
    <mergeCell ref="X11:AA11"/>
    <mergeCell ref="O48:P48"/>
    <mergeCell ref="O49:P49"/>
    <mergeCell ref="A37:L37"/>
    <mergeCell ref="A38:L38"/>
    <mergeCell ref="H24:J24"/>
    <mergeCell ref="H12:K12"/>
  </mergeCells>
  <conditionalFormatting sqref="Z27">
    <cfRule type="expression" priority="1" dxfId="0" stopIfTrue="1">
      <formula>$T$23&gt;2</formula>
    </cfRule>
  </conditionalFormatting>
  <conditionalFormatting sqref="Z28">
    <cfRule type="expression" priority="2" dxfId="0" stopIfTrue="1">
      <formula>$T$23&gt;3</formula>
    </cfRule>
  </conditionalFormatting>
  <conditionalFormatting sqref="Z29">
    <cfRule type="expression" priority="3" dxfId="0" stopIfTrue="1">
      <formula>$T$23&gt;4</formula>
    </cfRule>
  </conditionalFormatting>
  <conditionalFormatting sqref="Z30">
    <cfRule type="expression" priority="4" dxfId="0" stopIfTrue="1">
      <formula>$T$23&gt;5</formula>
    </cfRule>
  </conditionalFormatting>
  <conditionalFormatting sqref="Z31">
    <cfRule type="expression" priority="5" dxfId="0" stopIfTrue="1">
      <formula>$T$23&gt;6</formula>
    </cfRule>
  </conditionalFormatting>
  <conditionalFormatting sqref="AB25">
    <cfRule type="expression" priority="6" dxfId="1" stopIfTrue="1">
      <formula>$T$23&gt;0</formula>
    </cfRule>
  </conditionalFormatting>
  <conditionalFormatting sqref="AB26">
    <cfRule type="expression" priority="7" dxfId="1" stopIfTrue="1">
      <formula>$T$23&gt;1</formula>
    </cfRule>
  </conditionalFormatting>
  <conditionalFormatting sqref="AB27">
    <cfRule type="expression" priority="8" dxfId="1" stopIfTrue="1">
      <formula>$T$23&gt;2</formula>
    </cfRule>
  </conditionalFormatting>
  <conditionalFormatting sqref="AB28">
    <cfRule type="expression" priority="9" dxfId="1" stopIfTrue="1">
      <formula>$T$23&gt;3</formula>
    </cfRule>
  </conditionalFormatting>
  <conditionalFormatting sqref="AB29">
    <cfRule type="expression" priority="10" dxfId="1" stopIfTrue="1">
      <formula>$T$23&gt;4</formula>
    </cfRule>
  </conditionalFormatting>
  <conditionalFormatting sqref="AB30">
    <cfRule type="expression" priority="11" dxfId="1" stopIfTrue="1">
      <formula>$T$23&gt;5</formula>
    </cfRule>
  </conditionalFormatting>
  <conditionalFormatting sqref="AB31">
    <cfRule type="expression" priority="12" dxfId="1" stopIfTrue="1">
      <formula>$T$23&gt;6</formula>
    </cfRule>
  </conditionalFormatting>
  <conditionalFormatting sqref="Q26">
    <cfRule type="expression" priority="13" dxfId="2" stopIfTrue="1">
      <formula>$T$23&gt;1</formula>
    </cfRule>
  </conditionalFormatting>
  <conditionalFormatting sqref="Q25 T25 W25 Z25 G25 D25">
    <cfRule type="expression" priority="14" dxfId="2" stopIfTrue="1">
      <formula>$T$23&gt;0</formula>
    </cfRule>
  </conditionalFormatting>
  <conditionalFormatting sqref="R25 J25:K25">
    <cfRule type="expression" priority="15" dxfId="3" stopIfTrue="1">
      <formula>$T$23&gt;0</formula>
    </cfRule>
  </conditionalFormatting>
  <conditionalFormatting sqref="U25 X25 E25 H25">
    <cfRule type="expression" priority="16" dxfId="4" stopIfTrue="1">
      <formula>$T$23&gt;0</formula>
    </cfRule>
  </conditionalFormatting>
  <conditionalFormatting sqref="Y21">
    <cfRule type="expression" priority="17" dxfId="5" stopIfTrue="1">
      <formula>$T$21="si"</formula>
    </cfRule>
  </conditionalFormatting>
  <conditionalFormatting sqref="AD23 AA25 C25 F25 I25 V25:V31 S25:S31 Y25:Y31">
    <cfRule type="expression" priority="18" dxfId="5" stopIfTrue="1">
      <formula>$T$23&gt;0</formula>
    </cfRule>
  </conditionalFormatting>
  <conditionalFormatting sqref="AF23">
    <cfRule type="expression" priority="19" dxfId="5" stopIfTrue="1">
      <formula>$AD$23&gt;0</formula>
    </cfRule>
  </conditionalFormatting>
  <conditionalFormatting sqref="F26 C26 I26 AA26">
    <cfRule type="expression" priority="20" dxfId="5" stopIfTrue="1">
      <formula>$T$23&gt;1</formula>
    </cfRule>
  </conditionalFormatting>
  <conditionalFormatting sqref="F27 C27 I27 AA27">
    <cfRule type="expression" priority="21" dxfId="5" stopIfTrue="1">
      <formula>$T$23&gt;2</formula>
    </cfRule>
  </conditionalFormatting>
  <conditionalFormatting sqref="F28 C28 I28 AA28">
    <cfRule type="expression" priority="22" dxfId="5" stopIfTrue="1">
      <formula>$T$23&gt;3</formula>
    </cfRule>
  </conditionalFormatting>
  <conditionalFormatting sqref="F29 C29 I29 AA29">
    <cfRule type="expression" priority="23" dxfId="5" stopIfTrue="1">
      <formula>$T$23&gt;4</formula>
    </cfRule>
  </conditionalFormatting>
  <conditionalFormatting sqref="AA30">
    <cfRule type="expression" priority="24" dxfId="5" stopIfTrue="1">
      <formula>$T$23&gt;5</formula>
    </cfRule>
  </conditionalFormatting>
  <conditionalFormatting sqref="AA31">
    <cfRule type="expression" priority="25" dxfId="5" stopIfTrue="1">
      <formula>$T$23&gt;6</formula>
    </cfRule>
  </conditionalFormatting>
  <conditionalFormatting sqref="Y34">
    <cfRule type="expression" priority="26" dxfId="5" stopIfTrue="1">
      <formula>$T$33="si"</formula>
    </cfRule>
  </conditionalFormatting>
  <conditionalFormatting sqref="Y33 AF33:AF34 P33:P34">
    <cfRule type="expression" priority="27" dxfId="5" stopIfTrue="1">
      <formula>$T$33&gt;0</formula>
    </cfRule>
  </conditionalFormatting>
  <conditionalFormatting sqref="AA33:AE34 K33:O34">
    <cfRule type="expression" priority="28" dxfId="1" stopIfTrue="1">
      <formula>$T$33&gt;0</formula>
    </cfRule>
  </conditionalFormatting>
  <conditionalFormatting sqref="R26 T26:U26 W26:X26 Z26 G26:H26 D26:E26 J26:K26">
    <cfRule type="expression" priority="29" dxfId="3" stopIfTrue="1">
      <formula>$T$23&gt;1</formula>
    </cfRule>
  </conditionalFormatting>
  <conditionalFormatting sqref="R27 T27:U27 W27:X27 G27:H27 D27:E27 J27:K27">
    <cfRule type="expression" priority="30" dxfId="3" stopIfTrue="1">
      <formula>$T$23&gt;2</formula>
    </cfRule>
  </conditionalFormatting>
  <conditionalFormatting sqref="Q27">
    <cfRule type="expression" priority="31" dxfId="2" stopIfTrue="1">
      <formula>$T$23&gt;2</formula>
    </cfRule>
  </conditionalFormatting>
  <conditionalFormatting sqref="Q28">
    <cfRule type="expression" priority="32" dxfId="2" stopIfTrue="1">
      <formula>$T$23&gt;3</formula>
    </cfRule>
  </conditionalFormatting>
  <conditionalFormatting sqref="R28 T28:U28 W28:X28 G28:H28 D28:E28 J28:K28">
    <cfRule type="expression" priority="33" dxfId="3" stopIfTrue="1">
      <formula>$T$23&gt;3</formula>
    </cfRule>
  </conditionalFormatting>
  <conditionalFormatting sqref="Q29">
    <cfRule type="expression" priority="34" dxfId="2" stopIfTrue="1">
      <formula>$T$23&gt;4</formula>
    </cfRule>
  </conditionalFormatting>
  <conditionalFormatting sqref="R29 T29:U29 W29:X29 G29:H29 D29:E29 J29:K29">
    <cfRule type="expression" priority="35" dxfId="3" stopIfTrue="1">
      <formula>$T$23&gt;4</formula>
    </cfRule>
  </conditionalFormatting>
  <conditionalFormatting sqref="Q30">
    <cfRule type="expression" priority="36" dxfId="2" stopIfTrue="1">
      <formula>$T$23&gt;5</formula>
    </cfRule>
  </conditionalFormatting>
  <conditionalFormatting sqref="R30 T30:U30 W30:X30">
    <cfRule type="expression" priority="37" dxfId="3" stopIfTrue="1">
      <formula>$T$23&gt;5</formula>
    </cfRule>
  </conditionalFormatting>
  <conditionalFormatting sqref="Q31">
    <cfRule type="expression" priority="38" dxfId="2" stopIfTrue="1">
      <formula>$T$23&gt;6</formula>
    </cfRule>
  </conditionalFormatting>
  <conditionalFormatting sqref="R31 T31:U31 W31:X31">
    <cfRule type="expression" priority="39" dxfId="3" stopIfTrue="1">
      <formula>$T$23&gt;6</formula>
    </cfRule>
  </conditionalFormatting>
  <conditionalFormatting sqref="L25">
    <cfRule type="expression" priority="40" dxfId="1" stopIfTrue="1">
      <formula>$D$23&gt;0</formula>
    </cfRule>
  </conditionalFormatting>
  <conditionalFormatting sqref="N23">
    <cfRule type="expression" priority="41" dxfId="5" stopIfTrue="1">
      <formula>$D$23&gt;0</formula>
    </cfRule>
  </conditionalFormatting>
  <conditionalFormatting sqref="C30 F30 I30">
    <cfRule type="expression" priority="42" dxfId="5" stopIfTrue="1">
      <formula>$D$23&gt;5</formula>
    </cfRule>
  </conditionalFormatting>
  <conditionalFormatting sqref="C31 F31 I31">
    <cfRule type="expression" priority="43" dxfId="5" stopIfTrue="1">
      <formula>$D$23&gt;6</formula>
    </cfRule>
  </conditionalFormatting>
  <conditionalFormatting sqref="I34">
    <cfRule type="expression" priority="44" dxfId="5" stopIfTrue="1">
      <formula>$D$33="si"</formula>
    </cfRule>
  </conditionalFormatting>
  <conditionalFormatting sqref="A30">
    <cfRule type="expression" priority="45" dxfId="2" stopIfTrue="1">
      <formula>$D$23&gt;5</formula>
    </cfRule>
  </conditionalFormatting>
  <conditionalFormatting sqref="G30:H30 D30:E30 B30 J30:K30">
    <cfRule type="expression" priority="46" dxfId="3" stopIfTrue="1">
      <formula>$D$23&gt;5</formula>
    </cfRule>
  </conditionalFormatting>
  <conditionalFormatting sqref="A31">
    <cfRule type="expression" priority="47" dxfId="2" stopIfTrue="1">
      <formula>$D$23&gt;6</formula>
    </cfRule>
  </conditionalFormatting>
  <conditionalFormatting sqref="G31:H31 D31:E31 B31 J31:K31">
    <cfRule type="expression" priority="48" dxfId="3" stopIfTrue="1">
      <formula>$D$23&gt;6</formula>
    </cfRule>
  </conditionalFormatting>
  <conditionalFormatting sqref="A26">
    <cfRule type="expression" priority="49" dxfId="2" stopIfTrue="1">
      <formula>$D$23&gt;1</formula>
    </cfRule>
  </conditionalFormatting>
  <conditionalFormatting sqref="A25">
    <cfRule type="expression" priority="50" dxfId="2" stopIfTrue="1">
      <formula>$D$23&gt;0</formula>
    </cfRule>
  </conditionalFormatting>
  <conditionalFormatting sqref="B25">
    <cfRule type="expression" priority="51" dxfId="3" stopIfTrue="1">
      <formula>$D$23&gt;0</formula>
    </cfRule>
  </conditionalFormatting>
  <conditionalFormatting sqref="B26">
    <cfRule type="expression" priority="52" dxfId="3" stopIfTrue="1">
      <formula>$D$23&gt;1</formula>
    </cfRule>
  </conditionalFormatting>
  <conditionalFormatting sqref="B27">
    <cfRule type="expression" priority="53" dxfId="3" stopIfTrue="1">
      <formula>$D$23&gt;2</formula>
    </cfRule>
  </conditionalFormatting>
  <conditionalFormatting sqref="A27">
    <cfRule type="expression" priority="54" dxfId="2" stopIfTrue="1">
      <formula>$D$23&gt;2</formula>
    </cfRule>
  </conditionalFormatting>
  <conditionalFormatting sqref="A28">
    <cfRule type="expression" priority="55" dxfId="2" stopIfTrue="1">
      <formula>$D$23&gt;3</formula>
    </cfRule>
  </conditionalFormatting>
  <conditionalFormatting sqref="B28">
    <cfRule type="expression" priority="56" dxfId="3" stopIfTrue="1">
      <formula>$D$23&gt;3</formula>
    </cfRule>
  </conditionalFormatting>
  <conditionalFormatting sqref="A29">
    <cfRule type="expression" priority="57" dxfId="2" stopIfTrue="1">
      <formula>$D$23&gt;4</formula>
    </cfRule>
  </conditionalFormatting>
  <conditionalFormatting sqref="B29">
    <cfRule type="expression" priority="58" dxfId="3" stopIfTrue="1">
      <formula>$D$23&gt;4</formula>
    </cfRule>
  </conditionalFormatting>
  <conditionalFormatting sqref="L27">
    <cfRule type="expression" priority="59" dxfId="1" stopIfTrue="1">
      <formula>$D$23&gt;2</formula>
    </cfRule>
  </conditionalFormatting>
  <conditionalFormatting sqref="L28">
    <cfRule type="expression" priority="60" dxfId="1" stopIfTrue="1">
      <formula>$D$23&gt;3</formula>
    </cfRule>
  </conditionalFormatting>
  <conditionalFormatting sqref="L29">
    <cfRule type="expression" priority="61" dxfId="1" stopIfTrue="1">
      <formula>$D$23&gt;4</formula>
    </cfRule>
  </conditionalFormatting>
  <conditionalFormatting sqref="L30">
    <cfRule type="expression" priority="62" dxfId="1" stopIfTrue="1">
      <formula>$D$23&gt;5</formula>
    </cfRule>
  </conditionalFormatting>
  <conditionalFormatting sqref="L31">
    <cfRule type="expression" priority="63" dxfId="1" stopIfTrue="1">
      <formula>$D$23&gt;6</formula>
    </cfRule>
  </conditionalFormatting>
  <conditionalFormatting sqref="L26">
    <cfRule type="expression" priority="64" dxfId="1" stopIfTrue="1">
      <formula>$D$23&gt;1</formula>
    </cfRule>
  </conditionalFormatting>
  <printOptions/>
  <pageMargins left="0.1968503937007874" right="0" top="0.984251968503937" bottom="0.5905511811023623" header="0.5118110236220472" footer="0.5118110236220472"/>
  <pageSetup blackAndWhite="1" horizontalDpi="360" verticalDpi="360" orientation="portrait" paperSize="9" scale="9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26"/>
  <dimension ref="A1:BG124"/>
  <sheetViews>
    <sheetView workbookViewId="0" topLeftCell="A1">
      <selection activeCell="E8" sqref="E8:G8"/>
    </sheetView>
  </sheetViews>
  <sheetFormatPr defaultColWidth="9.33203125" defaultRowHeight="12.75"/>
  <cols>
    <col min="1" max="1" width="15.5" style="0" customWidth="1"/>
    <col min="2" max="10" width="4.83203125" style="0" customWidth="1"/>
    <col min="11" max="11" width="11.66015625" style="0" bestFit="1" customWidth="1"/>
    <col min="12" max="13" width="11.83203125" style="0" customWidth="1"/>
    <col min="14" max="14" width="4.83203125" style="0" customWidth="1"/>
    <col min="15" max="15" width="12.83203125" style="0" customWidth="1"/>
    <col min="16" max="16" width="9.16015625" style="0" customWidth="1"/>
    <col min="17" max="17" width="15.5" style="0" hidden="1" customWidth="1"/>
    <col min="18" max="26" width="4.83203125" style="0" hidden="1" customWidth="1"/>
    <col min="27" max="27" width="11.66015625" style="0" hidden="1" customWidth="1"/>
    <col min="28" max="29" width="11.83203125" style="0" hidden="1" customWidth="1"/>
    <col min="30" max="30" width="4.83203125" style="0" hidden="1" customWidth="1"/>
    <col min="31" max="31" width="12.83203125" style="0" hidden="1" customWidth="1"/>
    <col min="32" max="32" width="11" style="0" hidden="1" customWidth="1"/>
    <col min="33" max="33" width="5.16015625" style="0" hidden="1" customWidth="1"/>
    <col min="34" max="34" width="10.5" style="0" hidden="1" customWidth="1"/>
    <col min="35" max="35" width="15.16015625" style="0" hidden="1" customWidth="1"/>
    <col min="36" max="36" width="16.83203125" style="0" hidden="1" customWidth="1"/>
    <col min="37" max="37" width="6.66015625" style="0" hidden="1" customWidth="1"/>
    <col min="38" max="38" width="12.83203125" style="0" hidden="1" customWidth="1"/>
    <col min="39" max="39" width="11.5" style="0" hidden="1" customWidth="1"/>
    <col min="40" max="45" width="0" style="0" hidden="1" customWidth="1"/>
    <col min="46" max="46" width="3.66015625" style="0" customWidth="1"/>
    <col min="49" max="49" width="13.66015625" style="0" customWidth="1"/>
  </cols>
  <sheetData>
    <row r="1" spans="1:59" ht="16.5" thickTop="1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3"/>
      <c r="Q1" s="201" t="s">
        <v>0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3"/>
      <c r="AI1" s="185" t="s">
        <v>29</v>
      </c>
      <c r="AJ1" s="185"/>
      <c r="AK1" s="185"/>
      <c r="AL1" s="185"/>
      <c r="AM1" s="135" t="s">
        <v>68</v>
      </c>
      <c r="AT1" s="77"/>
      <c r="AU1" s="247" t="s">
        <v>84</v>
      </c>
      <c r="AV1" s="248"/>
      <c r="AW1" s="249"/>
      <c r="AX1" s="77"/>
      <c r="AY1" s="77"/>
      <c r="AZ1" s="77"/>
      <c r="BA1" s="77"/>
      <c r="BB1" s="77"/>
      <c r="BC1" s="77"/>
      <c r="BD1" s="77"/>
      <c r="BE1" s="77"/>
      <c r="BF1" s="77"/>
      <c r="BG1" s="77"/>
    </row>
    <row r="2" spans="1:59" ht="15.75">
      <c r="A2" s="350" t="str">
        <f>+Gen!A2</f>
        <v>TRIBUNALE DI TERMINI IMERESE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2"/>
      <c r="Q2" s="204" t="s">
        <v>1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6"/>
      <c r="AI2" s="5" t="s">
        <v>30</v>
      </c>
      <c r="AJ2" s="5" t="s">
        <v>31</v>
      </c>
      <c r="AK2" s="6" t="s">
        <v>18</v>
      </c>
      <c r="AL2" s="5" t="s">
        <v>37</v>
      </c>
      <c r="AN2" s="134"/>
      <c r="AT2" s="77"/>
      <c r="AU2" s="250"/>
      <c r="AV2" s="251"/>
      <c r="AW2" s="252"/>
      <c r="AX2" s="77"/>
      <c r="AY2" s="77"/>
      <c r="AZ2" s="77"/>
      <c r="BA2" s="77"/>
      <c r="BB2" s="77"/>
      <c r="BC2" s="77"/>
      <c r="BD2" s="77"/>
      <c r="BE2" s="77"/>
      <c r="BF2" s="77"/>
      <c r="BG2" s="77"/>
    </row>
    <row r="3" spans="1:59" ht="15.75">
      <c r="A3" s="207" t="s">
        <v>110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9"/>
      <c r="Q3" s="207" t="s">
        <v>85</v>
      </c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9"/>
      <c r="AI3" s="7">
        <v>1</v>
      </c>
      <c r="AJ3" s="7">
        <f>+Aliquote!C6</f>
        <v>15000</v>
      </c>
      <c r="AK3" s="8">
        <f>+Aliquote!D6</f>
        <v>0.23</v>
      </c>
      <c r="AL3" s="9"/>
      <c r="AT3" s="77"/>
      <c r="AU3" s="268"/>
      <c r="AV3" s="269"/>
      <c r="AW3" s="270"/>
      <c r="AX3" s="77"/>
      <c r="AY3" s="77"/>
      <c r="AZ3" s="77"/>
      <c r="BA3" s="77"/>
      <c r="BB3" s="77"/>
      <c r="BC3" s="77"/>
      <c r="BD3" s="77"/>
      <c r="BE3" s="77"/>
      <c r="BF3" s="77"/>
      <c r="BG3" s="77"/>
    </row>
    <row r="4" spans="1:59" ht="12.75" customHeight="1">
      <c r="A4" s="150" t="s">
        <v>138</v>
      </c>
      <c r="B4" s="163" t="str">
        <f>IF(Gen!B4&gt;0,Gen!B4,Vuota1)</f>
        <v>        </v>
      </c>
      <c r="C4" s="154"/>
      <c r="D4" s="154"/>
      <c r="E4" s="154"/>
      <c r="F4" s="154"/>
      <c r="G4" s="164"/>
      <c r="H4" s="58"/>
      <c r="I4" s="58"/>
      <c r="J4" s="345" t="s">
        <v>123</v>
      </c>
      <c r="K4" s="346"/>
      <c r="L4" s="149">
        <f>IF(Gen!L4&gt;0,Gen!L4,Vuota1)</f>
        <v>2007</v>
      </c>
      <c r="M4" s="20"/>
      <c r="N4" s="58"/>
      <c r="O4" s="58"/>
      <c r="P4" s="33"/>
      <c r="Q4" s="20"/>
      <c r="R4" s="58"/>
      <c r="S4" s="58"/>
      <c r="T4" s="58"/>
      <c r="U4" s="58"/>
      <c r="V4" s="58"/>
      <c r="W4" s="58"/>
      <c r="X4" s="58"/>
      <c r="Y4" s="58"/>
      <c r="Z4" s="213" t="s">
        <v>2</v>
      </c>
      <c r="AA4" s="213"/>
      <c r="AB4" s="2">
        <v>2007</v>
      </c>
      <c r="AC4" s="20"/>
      <c r="AD4" s="58"/>
      <c r="AE4" s="58"/>
      <c r="AF4" s="33"/>
      <c r="AI4" s="7">
        <f>+AJ3+0.01</f>
        <v>15000.01</v>
      </c>
      <c r="AJ4" s="7">
        <f>+Aliquote!C7</f>
        <v>28000</v>
      </c>
      <c r="AK4" s="8">
        <f>+Aliquote!D7</f>
        <v>0.27</v>
      </c>
      <c r="AL4" s="7">
        <f>ROUND(AI4*AK3,2)</f>
        <v>3450</v>
      </c>
      <c r="AT4" s="77"/>
      <c r="AU4" s="262" t="s">
        <v>81</v>
      </c>
      <c r="AV4" s="263"/>
      <c r="AW4" s="264"/>
      <c r="AX4" s="77"/>
      <c r="AY4" s="77"/>
      <c r="AZ4" s="77"/>
      <c r="BA4" s="77"/>
      <c r="BB4" s="77"/>
      <c r="BC4" s="77"/>
      <c r="BD4" s="77"/>
      <c r="BE4" s="77"/>
      <c r="BF4" s="77"/>
      <c r="BG4" s="77"/>
    </row>
    <row r="5" spans="1:59" ht="16.5" thickBot="1">
      <c r="A5" s="59" t="s">
        <v>3</v>
      </c>
      <c r="B5" s="60"/>
      <c r="C5" s="52" t="str">
        <f>IF(Gen!C5&gt;0,Gen!C5,Vuota1)</f>
        <v>C1</v>
      </c>
      <c r="D5" s="347" t="str">
        <f>IF(Gen!D5&gt;0,Gen!D5,Vuota1)</f>
        <v>        </v>
      </c>
      <c r="E5" s="348" t="e">
        <f>IF(#REF!&gt;0,#REF!,Vuota1)</f>
        <v>#REF!</v>
      </c>
      <c r="F5" s="348" t="e">
        <f>IF(#REF!&gt;0,#REF!,Vuota1)</f>
        <v>#REF!</v>
      </c>
      <c r="G5" s="348" t="e">
        <f>IF(#REF!&gt;0,#REF!,Vuota1)</f>
        <v>#REF!</v>
      </c>
      <c r="H5" s="348" t="e">
        <f>IF(#REF!&gt;0,#REF!,Vuota1)</f>
        <v>#REF!</v>
      </c>
      <c r="I5" s="348" t="e">
        <f>IF(#REF!&gt;0,#REF!,Vuota1)</f>
        <v>#REF!</v>
      </c>
      <c r="J5" s="348" t="str">
        <f>IF(Gen!J5&gt;0,Gen!J5,Vuota1)</f>
        <v>        </v>
      </c>
      <c r="K5" s="348" t="e">
        <f>IF(#REF!&gt;0,#REF!,Vuota1)</f>
        <v>#REF!</v>
      </c>
      <c r="L5" s="349" t="e">
        <f>IF(#REF!&gt;0,#REF!,Vuota1)</f>
        <v>#REF!</v>
      </c>
      <c r="M5" s="61" t="s">
        <v>5</v>
      </c>
      <c r="N5" s="163" t="str">
        <f>IF(Gen!N5&gt;0,Gen!N5,Vuota1)</f>
        <v>        </v>
      </c>
      <c r="O5" s="154" t="e">
        <f>IF(#REF!&gt;0,#REF!,Vuota1)</f>
        <v>#REF!</v>
      </c>
      <c r="P5" s="164" t="e">
        <f>IF(#REF!&gt;0,#REF!,Vuota1)</f>
        <v>#REF!</v>
      </c>
      <c r="Q5" s="59" t="s">
        <v>3</v>
      </c>
      <c r="R5" s="60"/>
      <c r="S5" s="2" t="s">
        <v>4</v>
      </c>
      <c r="T5" s="211"/>
      <c r="U5" s="211"/>
      <c r="V5" s="211"/>
      <c r="W5" s="211"/>
      <c r="X5" s="211"/>
      <c r="Y5" s="211"/>
      <c r="Z5" s="211"/>
      <c r="AA5" s="211"/>
      <c r="AB5" s="313"/>
      <c r="AC5" s="61" t="s">
        <v>5</v>
      </c>
      <c r="AD5" s="214"/>
      <c r="AE5" s="215"/>
      <c r="AF5" s="216"/>
      <c r="AH5" s="21"/>
      <c r="AI5" s="7">
        <f>+AJ4+0.01</f>
        <v>28000.01</v>
      </c>
      <c r="AJ5" s="7">
        <f>+Aliquote!C8</f>
        <v>55000</v>
      </c>
      <c r="AK5" s="8">
        <f>+Aliquote!D8</f>
        <v>0.38</v>
      </c>
      <c r="AL5" s="7">
        <f>ROUND((AI5-AI4)*AK4,2)+AL4</f>
        <v>6960</v>
      </c>
      <c r="AT5" s="77"/>
      <c r="AU5" s="265" t="s">
        <v>82</v>
      </c>
      <c r="AV5" s="266"/>
      <c r="AW5" s="267"/>
      <c r="AX5" s="77"/>
      <c r="AY5" s="77"/>
      <c r="AZ5" s="77"/>
      <c r="BA5" s="77"/>
      <c r="BB5" s="77"/>
      <c r="BC5" s="77"/>
      <c r="BD5" s="77"/>
      <c r="BE5" s="77"/>
      <c r="BF5" s="77"/>
      <c r="BG5" s="77"/>
    </row>
    <row r="6" spans="1:59" ht="12.75" customHeight="1" thickTop="1">
      <c r="A6" s="271" t="s">
        <v>6</v>
      </c>
      <c r="B6" s="272"/>
      <c r="C6" s="163" t="str">
        <f>IF(Gen!C6&gt;0,Gen!C6,Vuota1)</f>
        <v>        </v>
      </c>
      <c r="D6" s="213" t="e">
        <f>IF(#REF!&gt;0,#REF!,Vuota1)</f>
        <v>#REF!</v>
      </c>
      <c r="E6" s="213" t="e">
        <f>IF(#REF!&gt;0,#REF!,Vuota1)</f>
        <v>#REF!</v>
      </c>
      <c r="F6" s="213" t="e">
        <f>IF(#REF!&gt;0,#REF!,Vuota1)</f>
        <v>#REF!</v>
      </c>
      <c r="G6" s="359" t="e">
        <f>IF(#REF!&gt;0,#REF!,Vuota1)</f>
        <v>#REF!</v>
      </c>
      <c r="H6" s="60" t="s">
        <v>7</v>
      </c>
      <c r="I6" s="353" t="str">
        <f>IF(Gen!I6&gt;0,Gen!I6,Vuota1)</f>
        <v>        </v>
      </c>
      <c r="J6" s="354" t="e">
        <f>IF(#REF!&gt;0,#REF!,Vuota1)</f>
        <v>#REF!</v>
      </c>
      <c r="K6" s="355" t="e">
        <f>IF(#REF!&gt;0,#REF!,Vuota1)</f>
        <v>#REF!</v>
      </c>
      <c r="L6" s="48" t="s">
        <v>90</v>
      </c>
      <c r="M6" s="356" t="str">
        <f>IF(Gen!M6&gt;0,Gen!M6,Vuota1)</f>
        <v>        </v>
      </c>
      <c r="N6" s="357" t="e">
        <f>IF(#REF!&gt;0,#REF!,Vuota1)</f>
        <v>#REF!</v>
      </c>
      <c r="O6" s="357" t="e">
        <f>IF(#REF!&gt;0,#REF!,Vuota1)</f>
        <v>#REF!</v>
      </c>
      <c r="P6" s="358" t="e">
        <f>IF(#REF!&gt;0,#REF!,Vuota1)</f>
        <v>#REF!</v>
      </c>
      <c r="Q6" s="317"/>
      <c r="R6" s="318"/>
      <c r="S6" s="318"/>
      <c r="T6" s="302" t="s">
        <v>6</v>
      </c>
      <c r="U6" s="302"/>
      <c r="V6" s="214"/>
      <c r="W6" s="215"/>
      <c r="X6" s="215"/>
      <c r="Y6" s="215"/>
      <c r="Z6" s="216"/>
      <c r="AA6" s="60" t="s">
        <v>7</v>
      </c>
      <c r="AB6" s="300"/>
      <c r="AC6" s="301"/>
      <c r="AD6" s="20"/>
      <c r="AE6" s="20"/>
      <c r="AF6" s="62"/>
      <c r="AH6" s="21"/>
      <c r="AI6" s="7">
        <f>+AJ5+0.01</f>
        <v>55000.01</v>
      </c>
      <c r="AJ6" s="7">
        <f>+Aliquote!C9</f>
        <v>75000</v>
      </c>
      <c r="AK6" s="8">
        <f>+Aliquote!D9</f>
        <v>0.41</v>
      </c>
      <c r="AL6" s="7">
        <f>ROUND((AI6-AI5)*AK5,2)+AL5</f>
        <v>17220</v>
      </c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</row>
    <row r="7" spans="1:59" ht="12.75" customHeight="1">
      <c r="A7" s="239" t="s">
        <v>8</v>
      </c>
      <c r="B7" s="240"/>
      <c r="C7" s="240"/>
      <c r="D7" s="240"/>
      <c r="E7" s="240"/>
      <c r="F7" s="240"/>
      <c r="G7" s="240"/>
      <c r="H7" s="158" t="s">
        <v>9</v>
      </c>
      <c r="I7" s="158"/>
      <c r="J7" s="158"/>
      <c r="K7" s="158"/>
      <c r="L7" s="158"/>
      <c r="M7" s="20"/>
      <c r="N7" s="20"/>
      <c r="O7" s="20"/>
      <c r="P7" s="62"/>
      <c r="Q7" s="239" t="s">
        <v>8</v>
      </c>
      <c r="R7" s="240"/>
      <c r="S7" s="240"/>
      <c r="T7" s="240"/>
      <c r="U7" s="240"/>
      <c r="V7" s="240"/>
      <c r="W7" s="240"/>
      <c r="X7" s="158" t="s">
        <v>9</v>
      </c>
      <c r="Y7" s="158"/>
      <c r="Z7" s="158"/>
      <c r="AA7" s="158"/>
      <c r="AB7" s="158"/>
      <c r="AC7" s="20"/>
      <c r="AD7" s="20"/>
      <c r="AE7" s="20"/>
      <c r="AF7" s="62"/>
      <c r="AH7" s="21"/>
      <c r="AI7" s="7">
        <f>+AJ6+0.01</f>
        <v>75000.01</v>
      </c>
      <c r="AJ7" s="7">
        <v>1000000</v>
      </c>
      <c r="AK7" s="8">
        <f>+Aliquote!D10</f>
        <v>0.43</v>
      </c>
      <c r="AL7" s="7">
        <f>ROUND((AI7-AI6)*AK6,2)+AL6</f>
        <v>25420</v>
      </c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</row>
    <row r="8" spans="1:59" ht="12.75">
      <c r="A8" s="27" t="s">
        <v>78</v>
      </c>
      <c r="B8" s="29"/>
      <c r="C8" s="29"/>
      <c r="D8" s="23"/>
      <c r="E8" s="195"/>
      <c r="F8" s="196"/>
      <c r="G8" s="197"/>
      <c r="H8" s="273" t="s">
        <v>10</v>
      </c>
      <c r="I8" s="274"/>
      <c r="J8" s="274"/>
      <c r="K8" s="275"/>
      <c r="L8" s="1"/>
      <c r="M8" s="20"/>
      <c r="N8" s="20"/>
      <c r="O8" s="20"/>
      <c r="P8" s="62"/>
      <c r="Q8" s="27" t="s">
        <v>78</v>
      </c>
      <c r="R8" s="29"/>
      <c r="S8" s="29"/>
      <c r="T8" s="23"/>
      <c r="U8" s="195">
        <f aca="true" t="shared" si="0" ref="U8:U15">ROUND(E8*13,5)</f>
        <v>0</v>
      </c>
      <c r="V8" s="196"/>
      <c r="W8" s="197"/>
      <c r="X8" s="273" t="s">
        <v>10</v>
      </c>
      <c r="Y8" s="274"/>
      <c r="Z8" s="274"/>
      <c r="AA8" s="275"/>
      <c r="AB8" s="1">
        <f aca="true" t="shared" si="1" ref="AB8:AB17">ROUND(L8*13,5)</f>
        <v>0</v>
      </c>
      <c r="AC8" s="20"/>
      <c r="AD8" s="20"/>
      <c r="AE8" s="20"/>
      <c r="AF8" s="62"/>
      <c r="AH8" s="21"/>
      <c r="AI8" s="7">
        <f>+AJ7+0.01</f>
        <v>1000000.01</v>
      </c>
      <c r="AJ8" s="10">
        <v>2000000</v>
      </c>
      <c r="AK8" s="11">
        <f>+AK7</f>
        <v>0.43</v>
      </c>
      <c r="AL8" s="10">
        <f>ROUND((AI8-AI7)*AK7,2)+AL7</f>
        <v>423170</v>
      </c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</row>
    <row r="9" spans="1:59" ht="12.75">
      <c r="A9" s="27" t="s">
        <v>11</v>
      </c>
      <c r="B9" s="29"/>
      <c r="C9" s="29"/>
      <c r="D9" s="23"/>
      <c r="E9" s="195"/>
      <c r="F9" s="196"/>
      <c r="G9" s="197"/>
      <c r="H9" s="198" t="s">
        <v>111</v>
      </c>
      <c r="I9" s="199"/>
      <c r="J9" s="199"/>
      <c r="K9" s="200"/>
      <c r="L9" s="1"/>
      <c r="M9" s="20"/>
      <c r="N9" s="20"/>
      <c r="O9" s="20"/>
      <c r="P9" s="62"/>
      <c r="Q9" s="27" t="s">
        <v>11</v>
      </c>
      <c r="R9" s="29"/>
      <c r="S9" s="29"/>
      <c r="T9" s="23"/>
      <c r="U9" s="195">
        <f t="shared" si="0"/>
        <v>0</v>
      </c>
      <c r="V9" s="196"/>
      <c r="W9" s="197"/>
      <c r="X9" s="198" t="s">
        <v>111</v>
      </c>
      <c r="Y9" s="199"/>
      <c r="Z9" s="199"/>
      <c r="AA9" s="200"/>
      <c r="AB9" s="1">
        <f t="shared" si="1"/>
        <v>0</v>
      </c>
      <c r="AC9" s="20"/>
      <c r="AD9" s="20"/>
      <c r="AE9" s="25" t="s">
        <v>117</v>
      </c>
      <c r="AF9" s="62"/>
      <c r="AH9" s="22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</row>
    <row r="10" spans="1:59" ht="12.75">
      <c r="A10" s="27" t="s">
        <v>12</v>
      </c>
      <c r="B10" s="29"/>
      <c r="C10" s="29"/>
      <c r="D10" s="23"/>
      <c r="E10" s="195"/>
      <c r="F10" s="196"/>
      <c r="G10" s="197"/>
      <c r="H10" s="198" t="s">
        <v>112</v>
      </c>
      <c r="I10" s="199"/>
      <c r="J10" s="199"/>
      <c r="K10" s="200"/>
      <c r="L10" s="1"/>
      <c r="M10" s="20"/>
      <c r="N10" s="20"/>
      <c r="O10" s="20"/>
      <c r="P10" s="62"/>
      <c r="Q10" s="27" t="s">
        <v>12</v>
      </c>
      <c r="R10" s="29"/>
      <c r="S10" s="29"/>
      <c r="T10" s="23"/>
      <c r="U10" s="195">
        <f t="shared" si="0"/>
        <v>0</v>
      </c>
      <c r="V10" s="196"/>
      <c r="W10" s="197"/>
      <c r="X10" s="198" t="s">
        <v>112</v>
      </c>
      <c r="Y10" s="199"/>
      <c r="Z10" s="199"/>
      <c r="AA10" s="200"/>
      <c r="AB10" s="1">
        <f t="shared" si="1"/>
        <v>0</v>
      </c>
      <c r="AC10" s="20"/>
      <c r="AD10" s="20"/>
      <c r="AE10" s="145">
        <f>+Lordo-U12</f>
        <v>0</v>
      </c>
      <c r="AF10" s="62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</row>
    <row r="11" spans="1:59" ht="12.75">
      <c r="A11" s="27" t="s">
        <v>14</v>
      </c>
      <c r="B11" s="29"/>
      <c r="C11" s="29"/>
      <c r="D11" s="29"/>
      <c r="E11" s="195"/>
      <c r="F11" s="196"/>
      <c r="G11" s="197"/>
      <c r="H11" s="198" t="s">
        <v>113</v>
      </c>
      <c r="I11" s="199"/>
      <c r="J11" s="199"/>
      <c r="K11" s="200"/>
      <c r="L11" s="143">
        <f>ROUND((E10+E11)*(Aliquote!H9),2)</f>
        <v>0</v>
      </c>
      <c r="M11" s="20"/>
      <c r="N11" s="20"/>
      <c r="O11" s="20"/>
      <c r="P11" s="62"/>
      <c r="Q11" s="27" t="s">
        <v>14</v>
      </c>
      <c r="R11" s="29"/>
      <c r="S11" s="29"/>
      <c r="T11" s="29"/>
      <c r="U11" s="195">
        <f t="shared" si="0"/>
        <v>0</v>
      </c>
      <c r="V11" s="196"/>
      <c r="W11" s="197"/>
      <c r="X11" s="198" t="s">
        <v>113</v>
      </c>
      <c r="Y11" s="199"/>
      <c r="Z11" s="199"/>
      <c r="AA11" s="200"/>
      <c r="AB11" s="143">
        <f t="shared" si="1"/>
        <v>0</v>
      </c>
      <c r="AC11" s="20"/>
      <c r="AD11" s="20"/>
      <c r="AE11" s="20"/>
      <c r="AF11" s="62"/>
      <c r="AH11" s="85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</row>
    <row r="12" spans="1:59" ht="12.75">
      <c r="A12" s="27"/>
      <c r="B12" s="29"/>
      <c r="C12" s="29"/>
      <c r="D12" s="23"/>
      <c r="E12" s="404"/>
      <c r="F12" s="405"/>
      <c r="G12" s="406"/>
      <c r="H12" s="198" t="s">
        <v>114</v>
      </c>
      <c r="I12" s="199"/>
      <c r="J12" s="199"/>
      <c r="K12" s="200"/>
      <c r="L12" s="144">
        <f>ROUND((E10+E11)*(Aliquote!I9),2)</f>
        <v>0</v>
      </c>
      <c r="M12" s="20"/>
      <c r="N12" s="20"/>
      <c r="O12" s="20"/>
      <c r="P12" s="62"/>
      <c r="Q12" s="27" t="s">
        <v>16</v>
      </c>
      <c r="R12" s="29"/>
      <c r="S12" s="29"/>
      <c r="T12" s="23"/>
      <c r="U12" s="195">
        <f t="shared" si="0"/>
        <v>0</v>
      </c>
      <c r="V12" s="196"/>
      <c r="W12" s="197"/>
      <c r="X12" s="198" t="s">
        <v>114</v>
      </c>
      <c r="Y12" s="199"/>
      <c r="Z12" s="199"/>
      <c r="AA12" s="200"/>
      <c r="AB12" s="143">
        <f t="shared" si="1"/>
        <v>0</v>
      </c>
      <c r="AC12" s="91"/>
      <c r="AD12" s="20"/>
      <c r="AE12" s="20"/>
      <c r="AF12" s="62"/>
      <c r="AH12" s="85"/>
      <c r="AI12" s="186" t="s">
        <v>32</v>
      </c>
      <c r="AJ12" s="186"/>
      <c r="AK12" s="186"/>
      <c r="AL12" s="186"/>
      <c r="AM12" s="186"/>
      <c r="AN12" t="s">
        <v>44</v>
      </c>
      <c r="AO12" t="s">
        <v>43</v>
      </c>
      <c r="AT12" s="77"/>
      <c r="AU12" s="78"/>
      <c r="AV12" s="78"/>
      <c r="AW12" s="78"/>
      <c r="AX12" s="77"/>
      <c r="AY12" s="77"/>
      <c r="AZ12" s="77"/>
      <c r="BA12" s="77"/>
      <c r="BB12" s="77"/>
      <c r="BC12" s="77"/>
      <c r="BD12" s="77"/>
      <c r="BE12" s="77"/>
      <c r="BF12" s="77"/>
      <c r="BG12" s="77"/>
    </row>
    <row r="13" spans="1:59" ht="12.75">
      <c r="A13" s="27" t="s">
        <v>17</v>
      </c>
      <c r="B13" s="29"/>
      <c r="C13" s="29"/>
      <c r="D13" s="23"/>
      <c r="E13" s="195"/>
      <c r="F13" s="196"/>
      <c r="G13" s="197"/>
      <c r="H13" s="198"/>
      <c r="I13" s="199"/>
      <c r="J13" s="199"/>
      <c r="K13" s="200"/>
      <c r="L13" s="143"/>
      <c r="M13" s="20"/>
      <c r="N13" s="20"/>
      <c r="O13" s="20"/>
      <c r="P13" s="62"/>
      <c r="Q13" s="27" t="s">
        <v>17</v>
      </c>
      <c r="R13" s="29"/>
      <c r="S13" s="29"/>
      <c r="T13" s="23"/>
      <c r="U13" s="195">
        <f t="shared" si="0"/>
        <v>0</v>
      </c>
      <c r="V13" s="196"/>
      <c r="W13" s="197"/>
      <c r="X13" s="198" t="s">
        <v>115</v>
      </c>
      <c r="Y13" s="199"/>
      <c r="Z13" s="199"/>
      <c r="AA13" s="200"/>
      <c r="AB13" s="143">
        <f t="shared" si="1"/>
        <v>0</v>
      </c>
      <c r="AC13" s="20"/>
      <c r="AD13" s="20"/>
      <c r="AE13" s="91"/>
      <c r="AF13" s="62"/>
      <c r="AH13" s="85"/>
      <c r="AI13" s="4" t="s">
        <v>33</v>
      </c>
      <c r="AJ13" s="107">
        <v>80000</v>
      </c>
      <c r="AK13" s="4"/>
      <c r="AL13" s="107">
        <v>800</v>
      </c>
      <c r="AM13" s="107">
        <v>690</v>
      </c>
      <c r="AN13" s="87">
        <v>110</v>
      </c>
      <c r="AO13" s="87">
        <f>ROUND(Redd_Detraz/AJ19,4)</f>
        <v>0</v>
      </c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</row>
    <row r="14" spans="1:59" ht="12.75">
      <c r="A14" s="192" t="s">
        <v>108</v>
      </c>
      <c r="B14" s="193"/>
      <c r="C14" s="193"/>
      <c r="D14" s="194"/>
      <c r="E14" s="195"/>
      <c r="F14" s="196"/>
      <c r="G14" s="197"/>
      <c r="H14" s="198" t="s">
        <v>116</v>
      </c>
      <c r="I14" s="199"/>
      <c r="J14" s="199"/>
      <c r="K14" s="200"/>
      <c r="L14" s="143">
        <f>ROUND(E13*80%*(Aliquote!$G$9)+E13*(Aliquote!$H$9+Aliquote!$I$9),5)</f>
        <v>0</v>
      </c>
      <c r="M14" s="20"/>
      <c r="N14" s="20"/>
      <c r="O14" s="20"/>
      <c r="P14" s="62"/>
      <c r="Q14" s="26" t="s">
        <v>13</v>
      </c>
      <c r="R14" s="30"/>
      <c r="S14" s="30"/>
      <c r="T14" s="24"/>
      <c r="U14" s="195">
        <f t="shared" si="0"/>
        <v>0</v>
      </c>
      <c r="V14" s="196"/>
      <c r="W14" s="197"/>
      <c r="X14" s="198" t="s">
        <v>116</v>
      </c>
      <c r="Y14" s="199"/>
      <c r="Z14" s="199"/>
      <c r="AA14" s="200"/>
      <c r="AB14" s="143">
        <f t="shared" si="1"/>
        <v>0</v>
      </c>
      <c r="AC14" s="20"/>
      <c r="AD14" s="20"/>
      <c r="AE14" s="20"/>
      <c r="AF14" s="62"/>
      <c r="AH14" s="85"/>
      <c r="AI14" s="4" t="s">
        <v>34</v>
      </c>
      <c r="AJ14" s="107">
        <v>95000</v>
      </c>
      <c r="AK14" s="4"/>
      <c r="AL14" s="107">
        <v>800</v>
      </c>
      <c r="AO14" s="77">
        <f>ROUND((Coniuge-Redd_Detraz)/AJ38,4)</f>
        <v>2</v>
      </c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</row>
    <row r="15" spans="1:59" ht="12.75">
      <c r="A15" s="192" t="s">
        <v>109</v>
      </c>
      <c r="B15" s="193"/>
      <c r="C15" s="193"/>
      <c r="D15" s="194"/>
      <c r="E15" s="195"/>
      <c r="F15" s="196"/>
      <c r="G15" s="197"/>
      <c r="H15" s="192" t="s">
        <v>149</v>
      </c>
      <c r="I15" s="193"/>
      <c r="J15" s="193"/>
      <c r="K15" s="194"/>
      <c r="L15" s="143">
        <f>ROUND(E14*80%*(Aliquote!$G$9)+E14*(Aliquote!$H$9+Aliquote!$I$9),5)</f>
        <v>0</v>
      </c>
      <c r="M15" s="20"/>
      <c r="N15" s="20"/>
      <c r="O15" s="20"/>
      <c r="P15" s="62"/>
      <c r="Q15" s="26" t="s">
        <v>13</v>
      </c>
      <c r="R15" s="30"/>
      <c r="S15" s="30"/>
      <c r="T15" s="24"/>
      <c r="U15" s="195">
        <f t="shared" si="0"/>
        <v>0</v>
      </c>
      <c r="V15" s="196"/>
      <c r="W15" s="197"/>
      <c r="X15" s="192" t="s">
        <v>13</v>
      </c>
      <c r="Y15" s="193"/>
      <c r="Z15" s="193"/>
      <c r="AA15" s="194"/>
      <c r="AB15" s="143">
        <f t="shared" si="1"/>
        <v>0</v>
      </c>
      <c r="AC15" s="20"/>
      <c r="AD15" s="20"/>
      <c r="AE15" s="25" t="s">
        <v>93</v>
      </c>
      <c r="AF15" s="62"/>
      <c r="AH15" s="85"/>
      <c r="AI15" s="4" t="s">
        <v>35</v>
      </c>
      <c r="AJ15" s="107">
        <v>55000</v>
      </c>
      <c r="AK15" s="4"/>
      <c r="AL15" s="107">
        <v>1338</v>
      </c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</row>
    <row r="16" spans="1:59" ht="12.75">
      <c r="A16" s="192" t="s">
        <v>148</v>
      </c>
      <c r="B16" s="193"/>
      <c r="C16" s="193"/>
      <c r="D16" s="194"/>
      <c r="E16" s="195"/>
      <c r="F16" s="196"/>
      <c r="G16" s="197"/>
      <c r="H16" s="192" t="s">
        <v>150</v>
      </c>
      <c r="I16" s="193"/>
      <c r="J16" s="193"/>
      <c r="K16" s="194"/>
      <c r="L16" s="144">
        <f>ROUND(E15*(Aliquote!$H$9+Aliquote!$I$9),5)</f>
        <v>0</v>
      </c>
      <c r="M16" s="20"/>
      <c r="N16" s="20"/>
      <c r="O16" s="20"/>
      <c r="P16" s="62"/>
      <c r="Q16" s="192" t="s">
        <v>57</v>
      </c>
      <c r="R16" s="193"/>
      <c r="S16" s="193"/>
      <c r="T16" s="194"/>
      <c r="U16" s="195"/>
      <c r="V16" s="196"/>
      <c r="W16" s="197"/>
      <c r="X16" s="192" t="s">
        <v>13</v>
      </c>
      <c r="Y16" s="193"/>
      <c r="Z16" s="193"/>
      <c r="AA16" s="194"/>
      <c r="AB16" s="143">
        <f t="shared" si="1"/>
        <v>0</v>
      </c>
      <c r="AC16" s="298"/>
      <c r="AD16" s="299"/>
      <c r="AE16" s="146">
        <f>IF(O46&gt;E12,ROUND((O46-E12)*12,2),0)</f>
        <v>0</v>
      </c>
      <c r="AF16" s="62"/>
      <c r="AH16" s="85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</row>
    <row r="17" spans="1:59" ht="12.75">
      <c r="A17" s="163" t="s">
        <v>15</v>
      </c>
      <c r="B17" s="154"/>
      <c r="C17" s="154"/>
      <c r="D17" s="164"/>
      <c r="E17" s="175">
        <f>SUM(E8:G16)</f>
        <v>0</v>
      </c>
      <c r="F17" s="219"/>
      <c r="G17" s="176"/>
      <c r="H17" s="192" t="s">
        <v>148</v>
      </c>
      <c r="I17" s="193"/>
      <c r="J17" s="193"/>
      <c r="K17" s="194"/>
      <c r="L17" s="189"/>
      <c r="M17" s="20"/>
      <c r="N17" s="20"/>
      <c r="O17" s="20"/>
      <c r="P17" s="62"/>
      <c r="Q17" s="31" t="s">
        <v>15</v>
      </c>
      <c r="R17" s="28"/>
      <c r="S17" s="28"/>
      <c r="T17" s="32"/>
      <c r="U17" s="175">
        <f>SUM(U8:W16)</f>
        <v>0</v>
      </c>
      <c r="V17" s="219"/>
      <c r="W17" s="176"/>
      <c r="X17" s="192" t="s">
        <v>57</v>
      </c>
      <c r="Y17" s="193"/>
      <c r="Z17" s="193"/>
      <c r="AA17" s="194"/>
      <c r="AB17" s="143">
        <f t="shared" si="1"/>
        <v>0</v>
      </c>
      <c r="AC17" s="160"/>
      <c r="AD17" s="160"/>
      <c r="AE17" s="147"/>
      <c r="AF17" s="62"/>
      <c r="AH17" s="85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</row>
    <row r="18" spans="1:59" ht="13.5" thickBot="1">
      <c r="A18" s="57"/>
      <c r="B18" s="20"/>
      <c r="C18" s="20"/>
      <c r="D18" s="20"/>
      <c r="E18" s="20"/>
      <c r="F18" s="20"/>
      <c r="G18" s="20"/>
      <c r="H18" s="163" t="s">
        <v>15</v>
      </c>
      <c r="I18" s="154"/>
      <c r="J18" s="154"/>
      <c r="K18" s="164"/>
      <c r="L18" s="3">
        <f>SUM(L8:L17)</f>
        <v>0</v>
      </c>
      <c r="M18" s="20"/>
      <c r="N18" s="20"/>
      <c r="O18" s="20"/>
      <c r="P18" s="62"/>
      <c r="Q18" s="57"/>
      <c r="R18" s="20"/>
      <c r="S18" s="20"/>
      <c r="T18" s="20"/>
      <c r="U18" s="20"/>
      <c r="V18" s="20"/>
      <c r="W18" s="20"/>
      <c r="X18" s="31" t="s">
        <v>15</v>
      </c>
      <c r="Y18" s="28"/>
      <c r="Z18" s="28"/>
      <c r="AA18" s="32"/>
      <c r="AB18" s="3">
        <f>SUM(AB8:AB17)</f>
        <v>0</v>
      </c>
      <c r="AC18" s="136"/>
      <c r="AD18" s="136" t="s">
        <v>139</v>
      </c>
      <c r="AE18" s="147"/>
      <c r="AF18" s="151">
        <f>ROUND(E12*12,5)</f>
        <v>0</v>
      </c>
      <c r="AH18" s="85"/>
      <c r="AI18" s="4" t="s">
        <v>38</v>
      </c>
      <c r="AJ18" s="110" t="s">
        <v>39</v>
      </c>
      <c r="AK18" s="77"/>
      <c r="AL18" s="111" t="s">
        <v>45</v>
      </c>
      <c r="AM18" s="111" t="s">
        <v>40</v>
      </c>
      <c r="AO18">
        <f>IF(AP18&gt;0,1,0)</f>
        <v>0</v>
      </c>
      <c r="AP18" s="87"/>
      <c r="AQ18" s="87">
        <v>700</v>
      </c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</row>
    <row r="19" spans="1:59" ht="13.5" customHeight="1" hidden="1" thickBot="1">
      <c r="A19" s="79"/>
      <c r="B19" s="25"/>
      <c r="C19" s="25"/>
      <c r="D19" s="25"/>
      <c r="E19" s="25"/>
      <c r="F19" s="25"/>
      <c r="G19" s="25"/>
      <c r="H19" s="20"/>
      <c r="I19" s="20"/>
      <c r="J19" s="20"/>
      <c r="K19" s="20"/>
      <c r="L19" s="20"/>
      <c r="M19" s="20"/>
      <c r="N19" s="20"/>
      <c r="O19" s="20"/>
      <c r="P19" s="62"/>
      <c r="Q19" s="79"/>
      <c r="R19" s="25"/>
      <c r="S19" s="25"/>
      <c r="T19" s="25"/>
      <c r="U19" s="25"/>
      <c r="V19" s="25"/>
      <c r="W19" s="25"/>
      <c r="X19" s="20"/>
      <c r="Y19" s="20"/>
      <c r="Z19" s="20"/>
      <c r="AA19" s="20"/>
      <c r="AB19" s="20"/>
      <c r="AC19" s="136"/>
      <c r="AD19" s="20"/>
      <c r="AE19" s="148"/>
      <c r="AF19" s="62"/>
      <c r="AI19" s="315" t="s">
        <v>33</v>
      </c>
      <c r="AJ19" s="316">
        <v>15000</v>
      </c>
      <c r="AK19" s="77"/>
      <c r="AL19" s="118">
        <v>0</v>
      </c>
      <c r="AM19" s="127">
        <v>0</v>
      </c>
      <c r="AO19">
        <f>IF(AP19&gt;0,1,0)</f>
        <v>0</v>
      </c>
      <c r="AP19" s="87"/>
      <c r="AQ19" s="87">
        <v>500</v>
      </c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</row>
    <row r="20" spans="1:59" ht="15.75">
      <c r="A20" s="241" t="s">
        <v>66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3"/>
      <c r="Q20" s="241" t="s">
        <v>66</v>
      </c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3"/>
      <c r="AI20" s="315"/>
      <c r="AJ20" s="316"/>
      <c r="AK20" s="77"/>
      <c r="AL20" s="128"/>
      <c r="AM20" s="129"/>
      <c r="AP20" s="87"/>
      <c r="AQ20" s="8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</row>
    <row r="21" spans="1:59" ht="12.75">
      <c r="A21" s="289" t="s">
        <v>33</v>
      </c>
      <c r="B21" s="289"/>
      <c r="C21" s="289"/>
      <c r="D21" s="2"/>
      <c r="E21" s="25"/>
      <c r="F21" s="63"/>
      <c r="G21" s="63"/>
      <c r="H21" s="63"/>
      <c r="I21" s="45"/>
      <c r="J21" s="20"/>
      <c r="K21" s="20"/>
      <c r="L21" s="20"/>
      <c r="M21" s="20"/>
      <c r="N21" s="20"/>
      <c r="O21" s="20"/>
      <c r="P21" s="62"/>
      <c r="Q21" s="289" t="s">
        <v>33</v>
      </c>
      <c r="R21" s="289"/>
      <c r="S21" s="289"/>
      <c r="T21" s="2">
        <f>+D21</f>
        <v>0</v>
      </c>
      <c r="U21" s="25"/>
      <c r="V21" s="63" t="str">
        <f>IF(CNG="Si","Mesi a carico",Vuota1)</f>
        <v>        </v>
      </c>
      <c r="W21" s="63"/>
      <c r="X21" s="63"/>
      <c r="Y21" s="45">
        <v>12</v>
      </c>
      <c r="Z21" s="20"/>
      <c r="AA21" s="20"/>
      <c r="AB21" s="20"/>
      <c r="AC21" s="20"/>
      <c r="AD21" s="20"/>
      <c r="AE21" s="20"/>
      <c r="AF21" s="62"/>
      <c r="AI21" s="315"/>
      <c r="AJ21" s="316"/>
      <c r="AK21" s="77"/>
      <c r="AL21" s="128"/>
      <c r="AM21" s="129"/>
      <c r="AP21" s="87"/>
      <c r="AQ21" s="87"/>
      <c r="AT21" s="77"/>
      <c r="AU21" s="303" t="s">
        <v>83</v>
      </c>
      <c r="AV21" s="304"/>
      <c r="AW21" s="305"/>
      <c r="AX21" s="77"/>
      <c r="AY21" s="77"/>
      <c r="AZ21" s="77"/>
      <c r="BA21" s="77"/>
      <c r="BB21" s="77"/>
      <c r="BC21" s="77"/>
      <c r="BD21" s="77"/>
      <c r="BE21" s="77"/>
      <c r="BF21" s="77"/>
      <c r="BG21" s="77"/>
    </row>
    <row r="22" spans="1:59" ht="12.75">
      <c r="A22" s="64"/>
      <c r="B22" s="63"/>
      <c r="C22" s="48"/>
      <c r="D22" s="20"/>
      <c r="E22" s="25"/>
      <c r="F22" s="63"/>
      <c r="G22" s="63"/>
      <c r="H22" s="63"/>
      <c r="I22" s="20"/>
      <c r="J22" s="20"/>
      <c r="K22" s="20"/>
      <c r="L22" s="20"/>
      <c r="M22" s="20"/>
      <c r="N22" s="20"/>
      <c r="O22" s="20"/>
      <c r="P22" s="62"/>
      <c r="Q22" s="64"/>
      <c r="R22" s="63"/>
      <c r="S22" s="48"/>
      <c r="T22" s="20"/>
      <c r="U22" s="25"/>
      <c r="V22" s="63"/>
      <c r="W22" s="63"/>
      <c r="X22" s="63"/>
      <c r="Y22" s="20"/>
      <c r="Z22" s="20"/>
      <c r="AA22" s="20"/>
      <c r="AB22" s="20"/>
      <c r="AC22" s="20"/>
      <c r="AD22" s="20"/>
      <c r="AE22" s="20"/>
      <c r="AF22" s="62"/>
      <c r="AI22" s="315"/>
      <c r="AJ22" s="316"/>
      <c r="AK22" s="77"/>
      <c r="AL22" s="128"/>
      <c r="AM22" s="129"/>
      <c r="AP22" s="87"/>
      <c r="AQ22" s="87"/>
      <c r="AT22" s="77"/>
      <c r="AU22" s="306"/>
      <c r="AV22" s="257"/>
      <c r="AW22" s="307"/>
      <c r="AX22" s="77"/>
      <c r="AY22" s="77"/>
      <c r="AZ22" s="77"/>
      <c r="BA22" s="77"/>
      <c r="BB22" s="77"/>
      <c r="BC22" s="77"/>
      <c r="BD22" s="77"/>
      <c r="BE22" s="77"/>
      <c r="BF22" s="77"/>
      <c r="BG22" s="77"/>
    </row>
    <row r="23" spans="1:59" ht="12.75">
      <c r="A23" s="54" t="s">
        <v>67</v>
      </c>
      <c r="B23" s="55"/>
      <c r="C23" s="56"/>
      <c r="D23" s="49"/>
      <c r="E23" s="20"/>
      <c r="F23" s="63" t="str">
        <f>IF(N_Fgl&gt;0,"Se il 1° figlio è in assenza del coniuge barrare la casella &gt;&gt;&gt;&gt;",Vuota1)</f>
        <v>        </v>
      </c>
      <c r="G23" s="63"/>
      <c r="H23" s="63"/>
      <c r="I23" s="20"/>
      <c r="J23" s="25"/>
      <c r="K23" s="20"/>
      <c r="L23" s="20"/>
      <c r="M23" s="20"/>
      <c r="N23" s="43"/>
      <c r="O23" s="63"/>
      <c r="P23" s="65"/>
      <c r="Q23" s="54" t="s">
        <v>67</v>
      </c>
      <c r="R23" s="55"/>
      <c r="S23" s="56"/>
      <c r="T23" s="49">
        <f>+D23</f>
        <v>0</v>
      </c>
      <c r="U23" s="20"/>
      <c r="V23" s="63" t="str">
        <f>IF(N_Fgl&gt;0,"Se il 1° figlio è in assenza delconiuge barrare la casella &gt;&gt;&gt;&gt;",Vuota1)</f>
        <v>        </v>
      </c>
      <c r="W23" s="63"/>
      <c r="X23" s="63"/>
      <c r="Y23" s="20"/>
      <c r="Z23" s="25"/>
      <c r="AA23" s="20"/>
      <c r="AB23" s="20"/>
      <c r="AC23" s="20"/>
      <c r="AD23" s="44">
        <f>+N23</f>
        <v>0</v>
      </c>
      <c r="AE23" s="63" t="str">
        <f>IF(AD23&gt;0,"Mesi a carico",Vuota1)</f>
        <v>        </v>
      </c>
      <c r="AF23" s="65"/>
      <c r="AI23" s="315"/>
      <c r="AJ23" s="316"/>
      <c r="AK23" s="77"/>
      <c r="AL23" s="128"/>
      <c r="AM23" s="129"/>
      <c r="AP23" s="87"/>
      <c r="AQ23" s="87"/>
      <c r="AT23" s="77"/>
      <c r="AU23" s="306"/>
      <c r="AV23" s="257"/>
      <c r="AW23" s="307"/>
      <c r="AX23" s="77"/>
      <c r="AY23" s="77"/>
      <c r="AZ23" s="77"/>
      <c r="BA23" s="77"/>
      <c r="BB23" s="77"/>
      <c r="BC23" s="77"/>
      <c r="BD23" s="77"/>
      <c r="BE23" s="77"/>
      <c r="BF23" s="77"/>
      <c r="BG23" s="77"/>
    </row>
    <row r="24" spans="1:59" ht="12.75" customHeight="1">
      <c r="A24" s="47"/>
      <c r="B24" s="239" t="s">
        <v>64</v>
      </c>
      <c r="C24" s="240"/>
      <c r="D24" s="293"/>
      <c r="E24" s="294" t="s">
        <v>65</v>
      </c>
      <c r="F24" s="295"/>
      <c r="G24" s="293"/>
      <c r="H24" s="294" t="s">
        <v>59</v>
      </c>
      <c r="I24" s="295"/>
      <c r="J24" s="293"/>
      <c r="K24" s="48"/>
      <c r="L24" s="63"/>
      <c r="M24" s="20"/>
      <c r="N24" s="20"/>
      <c r="O24" s="20"/>
      <c r="P24" s="62"/>
      <c r="Q24" s="47"/>
      <c r="R24" s="239" t="s">
        <v>64</v>
      </c>
      <c r="S24" s="240"/>
      <c r="T24" s="293"/>
      <c r="U24" s="294" t="s">
        <v>65</v>
      </c>
      <c r="V24" s="295"/>
      <c r="W24" s="293"/>
      <c r="X24" s="294" t="s">
        <v>59</v>
      </c>
      <c r="Y24" s="295"/>
      <c r="Z24" s="293"/>
      <c r="AA24" s="42" t="s">
        <v>80</v>
      </c>
      <c r="AB24" s="63"/>
      <c r="AC24" s="20"/>
      <c r="AD24" s="20"/>
      <c r="AE24" s="20"/>
      <c r="AF24" s="62"/>
      <c r="AI24" s="315"/>
      <c r="AJ24" s="316"/>
      <c r="AK24" s="77"/>
      <c r="AL24" s="128"/>
      <c r="AM24" s="129"/>
      <c r="AP24" s="87"/>
      <c r="AQ24" s="87"/>
      <c r="AT24" s="77"/>
      <c r="AU24" s="306"/>
      <c r="AV24" s="257"/>
      <c r="AW24" s="307"/>
      <c r="AX24" s="77"/>
      <c r="AY24" s="77"/>
      <c r="AZ24" s="77"/>
      <c r="BA24" s="77"/>
      <c r="BB24" s="77"/>
      <c r="BC24" s="77"/>
      <c r="BD24" s="77"/>
      <c r="BE24" s="77"/>
      <c r="BF24" s="77"/>
      <c r="BG24" s="77"/>
    </row>
    <row r="25" spans="1:59" ht="12.75" customHeight="1">
      <c r="A25" s="64" t="str">
        <f>IF(N_Fgl&gt;0,"1° figlio",Vuota1)</f>
        <v>        </v>
      </c>
      <c r="B25" s="63"/>
      <c r="C25" s="43"/>
      <c r="D25" s="63"/>
      <c r="E25" s="63"/>
      <c r="F25" s="43"/>
      <c r="G25" s="63"/>
      <c r="H25" s="63"/>
      <c r="I25" s="43"/>
      <c r="J25" s="63"/>
      <c r="K25" s="63"/>
      <c r="L25" s="66" t="str">
        <f>IF($D$23&gt;0,ROUND(AB25/12,2),Vuota1)</f>
        <v>        </v>
      </c>
      <c r="M25" s="231" t="s">
        <v>69</v>
      </c>
      <c r="N25" s="232"/>
      <c r="O25" s="233"/>
      <c r="P25" s="244">
        <v>1</v>
      </c>
      <c r="Q25" s="64" t="str">
        <f>IF(N_Fgl&gt;0,"1° figlio",Vuota1)</f>
        <v>        </v>
      </c>
      <c r="R25" s="63"/>
      <c r="S25" s="43">
        <f aca="true" t="shared" si="2" ref="S25:S31">+C25</f>
        <v>0</v>
      </c>
      <c r="T25" s="63"/>
      <c r="U25" s="63"/>
      <c r="V25" s="43">
        <f aca="true" t="shared" si="3" ref="V25:V31">+F25</f>
        <v>0</v>
      </c>
      <c r="W25" s="63"/>
      <c r="X25" s="63"/>
      <c r="Y25" s="43">
        <f aca="true" t="shared" si="4" ref="Y25:Y31">+I25</f>
        <v>0</v>
      </c>
      <c r="Z25" s="63"/>
      <c r="AA25" s="43"/>
      <c r="AB25" s="66" t="str">
        <f>IF(N_Fgl&gt;0,IF(AD23&gt;0,AH27,ROUND(dsfig*Percm,2)+IF($V$25&gt;0,ROUND((dsfg3-dsfig)*Percm,2),0)+IF($Y$25&gt;0,ROUND(dsfhc*Percm,2),0)),Vuota1)</f>
        <v>        </v>
      </c>
      <c r="AC25" s="231" t="s">
        <v>69</v>
      </c>
      <c r="AD25" s="232"/>
      <c r="AE25" s="233"/>
      <c r="AF25" s="244">
        <f>+P25</f>
        <v>1</v>
      </c>
      <c r="AH25" s="106">
        <f>ROUND(dsfig,5)+IF($V$25&gt;0,ROUND(dsfg3-dsfig,5),0)+IF($Y$25&gt;0,ROUND(dsfhc,5),0)</f>
        <v>0</v>
      </c>
      <c r="AI25" s="315"/>
      <c r="AJ25" s="316"/>
      <c r="AK25" s="77"/>
      <c r="AL25" s="128"/>
      <c r="AM25" s="129"/>
      <c r="AP25" s="87"/>
      <c r="AQ25" s="87"/>
      <c r="AT25" s="77"/>
      <c r="AU25" s="308"/>
      <c r="AV25" s="309"/>
      <c r="AW25" s="310"/>
      <c r="AX25" s="77"/>
      <c r="AY25" s="77"/>
      <c r="AZ25" s="77"/>
      <c r="BA25" s="77"/>
      <c r="BB25" s="77"/>
      <c r="BC25" s="77"/>
      <c r="BD25" s="77"/>
      <c r="BE25" s="77"/>
      <c r="BF25" s="77"/>
      <c r="BG25" s="77"/>
    </row>
    <row r="26" spans="1:59" ht="12.75">
      <c r="A26" s="64" t="str">
        <f>IF(N_Fgl&gt;1,"2° figlio"," ")</f>
        <v> </v>
      </c>
      <c r="B26" s="63"/>
      <c r="C26" s="43"/>
      <c r="D26" s="63"/>
      <c r="E26" s="63"/>
      <c r="F26" s="43"/>
      <c r="G26" s="63"/>
      <c r="H26" s="63"/>
      <c r="I26" s="43"/>
      <c r="J26" s="63"/>
      <c r="K26" s="63"/>
      <c r="L26" s="66" t="str">
        <f>IF($D$23&gt;1,ROUND(AB26/12,2),Vuota1)</f>
        <v>        </v>
      </c>
      <c r="M26" s="234"/>
      <c r="N26" s="188"/>
      <c r="O26" s="235"/>
      <c r="P26" s="245"/>
      <c r="Q26" s="64" t="str">
        <f>IF(N_Fgl&gt;1,"2° figlio"," ")</f>
        <v> </v>
      </c>
      <c r="R26" s="63"/>
      <c r="S26" s="43">
        <f t="shared" si="2"/>
        <v>0</v>
      </c>
      <c r="T26" s="63"/>
      <c r="U26" s="63"/>
      <c r="V26" s="43">
        <f t="shared" si="3"/>
        <v>0</v>
      </c>
      <c r="W26" s="63"/>
      <c r="X26" s="63"/>
      <c r="Y26" s="43">
        <f t="shared" si="4"/>
        <v>0</v>
      </c>
      <c r="Z26" s="63"/>
      <c r="AA26" s="43"/>
      <c r="AB26" s="66" t="str">
        <f>IF(N_Fgl&gt;1,ROUND(dsfig*Percm,2)+IF(V26&gt;0,ROUND((dsfg3-dsfig)*Percm,2),0)+IF(Y26&gt;0,ROUND(dsfhc*Percm,2),0),Vuota1)</f>
        <v>        </v>
      </c>
      <c r="AC26" s="234"/>
      <c r="AD26" s="188"/>
      <c r="AE26" s="235"/>
      <c r="AF26" s="245"/>
      <c r="AI26" s="315"/>
      <c r="AJ26" s="316"/>
      <c r="AK26" s="77"/>
      <c r="AL26" s="128"/>
      <c r="AM26" s="129"/>
      <c r="AP26" s="87"/>
      <c r="AQ26" s="8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</row>
    <row r="27" spans="1:59" ht="12.75">
      <c r="A27" s="64" t="str">
        <f>IF(N_Fgl&gt;2,"3° figlio"," ")</f>
        <v> </v>
      </c>
      <c r="B27" s="63"/>
      <c r="C27" s="43"/>
      <c r="D27" s="63"/>
      <c r="E27" s="63"/>
      <c r="F27" s="43"/>
      <c r="G27" s="63"/>
      <c r="H27" s="63"/>
      <c r="I27" s="43"/>
      <c r="J27" s="63"/>
      <c r="K27" s="63"/>
      <c r="L27" s="66" t="str">
        <f>IF($D$23&gt;2,ROUND(AB27/12,2),Vuota1)</f>
        <v>        </v>
      </c>
      <c r="M27" s="236"/>
      <c r="N27" s="237"/>
      <c r="O27" s="238"/>
      <c r="P27" s="246"/>
      <c r="Q27" s="64" t="str">
        <f>IF(N_Fgl&gt;2,"3° figlio"," ")</f>
        <v> </v>
      </c>
      <c r="R27" s="63"/>
      <c r="S27" s="43">
        <f t="shared" si="2"/>
        <v>0</v>
      </c>
      <c r="T27" s="63"/>
      <c r="U27" s="63"/>
      <c r="V27" s="43">
        <f t="shared" si="3"/>
        <v>0</v>
      </c>
      <c r="W27" s="63"/>
      <c r="X27" s="63"/>
      <c r="Y27" s="43">
        <f t="shared" si="4"/>
        <v>0</v>
      </c>
      <c r="Z27" s="63"/>
      <c r="AA27" s="43"/>
      <c r="AB27" s="66" t="str">
        <f>IF(N_Fgl&gt;2,ROUND(dsfig*Percm,2)+IF(V27&gt;0,ROUND((dsfg3-dsfig)*Percm,2),0)+IF(Y27&gt;0,ROUND(dsfhc*Percm,2),0),Vuota1)</f>
        <v>        </v>
      </c>
      <c r="AC27" s="236"/>
      <c r="AD27" s="237"/>
      <c r="AE27" s="238"/>
      <c r="AF27" s="246"/>
      <c r="AH27" s="106">
        <f>IF($AD$23&gt;0,IF($AH$25&gt;Cng_nn,ROUND($AH$25,2),ROUND(Cng_nn,5)),AH25)</f>
        <v>0</v>
      </c>
      <c r="AI27" s="315"/>
      <c r="AJ27" s="316"/>
      <c r="AK27" s="77"/>
      <c r="AL27" s="128"/>
      <c r="AM27" s="129"/>
      <c r="AP27" s="87"/>
      <c r="AQ27" s="8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</row>
    <row r="28" spans="1:59" ht="12.75">
      <c r="A28" s="64" t="str">
        <f>IF(N_Fgl&gt;3,"4° figlio"," ")</f>
        <v> </v>
      </c>
      <c r="B28" s="63"/>
      <c r="C28" s="43"/>
      <c r="D28" s="63"/>
      <c r="E28" s="63"/>
      <c r="F28" s="43"/>
      <c r="G28" s="63"/>
      <c r="H28" s="63"/>
      <c r="I28" s="43"/>
      <c r="J28" s="63"/>
      <c r="K28" s="63"/>
      <c r="L28" s="66" t="str">
        <f>IF($D$23&gt;3,ROUND(AB28/12,2),Vuota1)</f>
        <v>        </v>
      </c>
      <c r="M28" s="319" t="str">
        <f>IF(N23&gt;0,IF(P25=50%,"Attenzione: la percentuale deve essere 100%",Vuota1),Vuota1)</f>
        <v>        </v>
      </c>
      <c r="N28" s="319"/>
      <c r="O28" s="319"/>
      <c r="P28" s="320"/>
      <c r="Q28" s="64" t="str">
        <f>IF(N_Fgl&gt;3,"4° figlio"," ")</f>
        <v> </v>
      </c>
      <c r="R28" s="63"/>
      <c r="S28" s="43">
        <f t="shared" si="2"/>
        <v>0</v>
      </c>
      <c r="T28" s="63"/>
      <c r="U28" s="63"/>
      <c r="V28" s="43">
        <f t="shared" si="3"/>
        <v>0</v>
      </c>
      <c r="W28" s="63"/>
      <c r="X28" s="63"/>
      <c r="Y28" s="43">
        <f t="shared" si="4"/>
        <v>0</v>
      </c>
      <c r="Z28" s="63"/>
      <c r="AA28" s="43"/>
      <c r="AB28" s="66" t="str">
        <f>IF(N_Fgl&gt;3,ROUND(dsfig*Percm,2)+IF(V28&gt;0,ROUND((dsfg3-dsfig)*Percm,2),0)+IF(Y28&gt;0,ROUND(dsfhc*Percm,2),0),Vuota1)</f>
        <v>        </v>
      </c>
      <c r="AC28" s="20"/>
      <c r="AD28" s="20"/>
      <c r="AE28" s="20"/>
      <c r="AF28" s="62"/>
      <c r="AI28" s="315"/>
      <c r="AJ28" s="316"/>
      <c r="AK28" s="77"/>
      <c r="AL28" s="128"/>
      <c r="AM28" s="129"/>
      <c r="AP28" s="87"/>
      <c r="AQ28" s="8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</row>
    <row r="29" spans="1:59" ht="13.5" thickBot="1">
      <c r="A29" s="64" t="str">
        <f>IF(N_Fgl&gt;4,"5° figlio"," ")</f>
        <v> </v>
      </c>
      <c r="B29" s="63"/>
      <c r="C29" s="43"/>
      <c r="D29" s="63"/>
      <c r="E29" s="63"/>
      <c r="F29" s="43"/>
      <c r="G29" s="63"/>
      <c r="H29" s="63"/>
      <c r="I29" s="43"/>
      <c r="J29" s="63"/>
      <c r="K29" s="63"/>
      <c r="L29" s="66" t="str">
        <f>IF($D$23&gt;4,ROUND(AB29/12,2),Vuota1)</f>
        <v>        </v>
      </c>
      <c r="M29" s="321"/>
      <c r="N29" s="321"/>
      <c r="O29" s="321"/>
      <c r="P29" s="322"/>
      <c r="Q29" s="64" t="str">
        <f>IF(N_Fgl&gt;4,"5° figlio"," ")</f>
        <v> </v>
      </c>
      <c r="R29" s="63"/>
      <c r="S29" s="43">
        <f t="shared" si="2"/>
        <v>0</v>
      </c>
      <c r="T29" s="63"/>
      <c r="U29" s="63"/>
      <c r="V29" s="43">
        <f t="shared" si="3"/>
        <v>0</v>
      </c>
      <c r="W29" s="63"/>
      <c r="X29" s="63"/>
      <c r="Y29" s="43">
        <f t="shared" si="4"/>
        <v>0</v>
      </c>
      <c r="Z29" s="63"/>
      <c r="AA29" s="43"/>
      <c r="AB29" s="66" t="str">
        <f>IF(N_Fgl&gt;4,ROUND(dsfig*Percm,2)+IF(V29&gt;0,ROUND((dsfg3-dsfig)*Percm,2),0)+IF(Y29&gt;0,ROUND(dsfhc*Percm,2),0),Vuota1)</f>
        <v>        </v>
      </c>
      <c r="AC29" s="20"/>
      <c r="AD29" s="20"/>
      <c r="AE29" s="20"/>
      <c r="AF29" s="62"/>
      <c r="AI29" s="315"/>
      <c r="AJ29" s="316"/>
      <c r="AK29" s="77"/>
      <c r="AL29" s="128"/>
      <c r="AM29" s="129"/>
      <c r="AP29" s="87"/>
      <c r="AQ29" s="8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</row>
    <row r="30" spans="1:59" ht="13.5" thickTop="1">
      <c r="A30" s="64" t="str">
        <f>IF(N_Fgl&gt;5,"6° figlio"," ")</f>
        <v> </v>
      </c>
      <c r="B30" s="63"/>
      <c r="C30" s="43"/>
      <c r="D30" s="63"/>
      <c r="E30" s="63"/>
      <c r="F30" s="43"/>
      <c r="G30" s="63"/>
      <c r="H30" s="63"/>
      <c r="I30" s="43"/>
      <c r="J30" s="63"/>
      <c r="K30" s="63"/>
      <c r="L30" s="66" t="str">
        <f>IF($D$23&gt;5,ROUND(AB30/12,2),Vuota1)</f>
        <v>        </v>
      </c>
      <c r="M30" s="20"/>
      <c r="N30" s="20"/>
      <c r="O30" s="20"/>
      <c r="P30" s="62"/>
      <c r="Q30" s="64" t="str">
        <f>IF(N_Fgl&gt;5,"6° figlio"," ")</f>
        <v> </v>
      </c>
      <c r="R30" s="63"/>
      <c r="S30" s="43">
        <f t="shared" si="2"/>
        <v>0</v>
      </c>
      <c r="T30" s="63"/>
      <c r="U30" s="63"/>
      <c r="V30" s="43">
        <f t="shared" si="3"/>
        <v>0</v>
      </c>
      <c r="W30" s="63"/>
      <c r="X30" s="63"/>
      <c r="Y30" s="43">
        <f t="shared" si="4"/>
        <v>0</v>
      </c>
      <c r="Z30" s="63"/>
      <c r="AA30" s="43"/>
      <c r="AB30" s="66" t="str">
        <f>IF(N_Fgl&gt;5,ROUND(dsfig*Percm,2)+IF(V30&gt;0,ROUND((dsfg3-dsfig)*Percm,2),0)+IF(Y30&gt;0,ROUND(dsfhc*Percm,2),0),Vuota1)</f>
        <v>        </v>
      </c>
      <c r="AC30" s="20"/>
      <c r="AD30" s="20"/>
      <c r="AE30" s="20"/>
      <c r="AF30" s="62"/>
      <c r="AI30" s="315"/>
      <c r="AJ30" s="316"/>
      <c r="AK30" s="77"/>
      <c r="AL30" s="128"/>
      <c r="AM30" s="129"/>
      <c r="AP30" s="87"/>
      <c r="AQ30" s="87"/>
      <c r="AT30" s="77"/>
      <c r="AU30" s="253" t="s">
        <v>99</v>
      </c>
      <c r="AV30" s="254"/>
      <c r="AW30" s="255"/>
      <c r="AX30" s="77"/>
      <c r="AY30" s="77"/>
      <c r="AZ30" s="77"/>
      <c r="BA30" s="77"/>
      <c r="BB30" s="77"/>
      <c r="BC30" s="77"/>
      <c r="BD30" s="77"/>
      <c r="BE30" s="77"/>
      <c r="BF30" s="77"/>
      <c r="BG30" s="77"/>
    </row>
    <row r="31" spans="1:59" ht="12.75">
      <c r="A31" s="64" t="str">
        <f>IF(N_Fgl&gt;6,"7° figlio"," ")</f>
        <v> </v>
      </c>
      <c r="B31" s="63"/>
      <c r="C31" s="43"/>
      <c r="D31" s="63"/>
      <c r="E31" s="63"/>
      <c r="F31" s="43"/>
      <c r="G31" s="63"/>
      <c r="H31" s="63"/>
      <c r="I31" s="43"/>
      <c r="J31" s="63"/>
      <c r="K31" s="63"/>
      <c r="L31" s="66" t="str">
        <f>IF($D$23&gt;6,ROUND(AB31/12,2),Vuota1)</f>
        <v>        </v>
      </c>
      <c r="M31" s="20"/>
      <c r="N31" s="20"/>
      <c r="O31" s="20"/>
      <c r="P31" s="62"/>
      <c r="Q31" s="64" t="str">
        <f>IF(N_Fgl&gt;6,"7° figlio"," ")</f>
        <v> </v>
      </c>
      <c r="R31" s="63"/>
      <c r="S31" s="43">
        <f t="shared" si="2"/>
        <v>0</v>
      </c>
      <c r="T31" s="63"/>
      <c r="U31" s="63"/>
      <c r="V31" s="43">
        <f t="shared" si="3"/>
        <v>0</v>
      </c>
      <c r="W31" s="63"/>
      <c r="X31" s="63"/>
      <c r="Y31" s="43">
        <f t="shared" si="4"/>
        <v>0</v>
      </c>
      <c r="Z31" s="63"/>
      <c r="AA31" s="43"/>
      <c r="AB31" s="66" t="str">
        <f>IF(N_Fgl&gt;6,ROUND(dsfig*Percm,2)+IF(V31&gt;0,ROUND((dsfg3-dsfig)*Percm,2),0)+IF(Y31&gt;0,ROUND(dsfhc*Percm,2),0),Vuota1)</f>
        <v>        </v>
      </c>
      <c r="AC31" s="20"/>
      <c r="AD31" s="20"/>
      <c r="AE31" s="20"/>
      <c r="AF31" s="62"/>
      <c r="AI31" s="315"/>
      <c r="AJ31" s="316"/>
      <c r="AK31" s="77"/>
      <c r="AL31" s="128"/>
      <c r="AM31" s="129"/>
      <c r="AP31" s="87"/>
      <c r="AQ31" s="87"/>
      <c r="AT31" s="77"/>
      <c r="AU31" s="256"/>
      <c r="AV31" s="257"/>
      <c r="AW31" s="258"/>
      <c r="AX31" s="77"/>
      <c r="AY31" s="77"/>
      <c r="AZ31" s="77"/>
      <c r="BA31" s="77"/>
      <c r="BB31" s="77"/>
      <c r="BC31" s="77"/>
      <c r="BD31" s="77"/>
      <c r="BE31" s="77"/>
      <c r="BF31" s="77"/>
      <c r="BG31" s="77"/>
    </row>
    <row r="32" spans="1:59" ht="12.75">
      <c r="A32" s="5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62"/>
      <c r="Q32" s="57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62"/>
      <c r="AI32" s="315"/>
      <c r="AJ32" s="316"/>
      <c r="AK32" s="77"/>
      <c r="AL32" s="128"/>
      <c r="AM32" s="129"/>
      <c r="AP32" s="87"/>
      <c r="AQ32" s="87"/>
      <c r="AT32" s="77"/>
      <c r="AU32" s="256"/>
      <c r="AV32" s="257"/>
      <c r="AW32" s="258"/>
      <c r="AX32" s="77"/>
      <c r="AY32" s="77"/>
      <c r="AZ32" s="77"/>
      <c r="BA32" s="77"/>
      <c r="BB32" s="77"/>
      <c r="BC32" s="77"/>
      <c r="BD32" s="77"/>
      <c r="BE32" s="77"/>
      <c r="BF32" s="77"/>
      <c r="BG32" s="77"/>
    </row>
    <row r="33" spans="1:59" ht="12.75" customHeight="1">
      <c r="A33" s="286" t="s">
        <v>86</v>
      </c>
      <c r="B33" s="287"/>
      <c r="C33" s="288"/>
      <c r="D33" s="2"/>
      <c r="E33" s="20"/>
      <c r="F33" s="63"/>
      <c r="G33" s="63"/>
      <c r="H33" s="63"/>
      <c r="I33" s="45"/>
      <c r="J33" s="20"/>
      <c r="K33" s="188" t="str">
        <f>IF(D33&gt;0,"Indicare il numero complessivo degli aventi diritto alla detrazione pro quota",Vuota1)</f>
        <v>        </v>
      </c>
      <c r="L33" s="179"/>
      <c r="M33" s="179"/>
      <c r="N33" s="179"/>
      <c r="O33" s="179"/>
      <c r="P33" s="223"/>
      <c r="Q33" s="286" t="s">
        <v>86</v>
      </c>
      <c r="R33" s="287"/>
      <c r="S33" s="288"/>
      <c r="T33" s="2">
        <f>+D33</f>
        <v>0</v>
      </c>
      <c r="U33" s="20"/>
      <c r="V33" s="63" t="str">
        <f>IF(T33&gt;0,"Mesi a carico",Vuota1)</f>
        <v>        </v>
      </c>
      <c r="W33" s="63"/>
      <c r="X33" s="63"/>
      <c r="Y33" s="45">
        <v>12</v>
      </c>
      <c r="Z33" s="20"/>
      <c r="AA33" s="188" t="str">
        <f>IF(T33&gt;0,"Indicare il numero complessivo degli aventi diritto alla detrazione pro quota",Vuota1)</f>
        <v>        </v>
      </c>
      <c r="AB33" s="311"/>
      <c r="AC33" s="311"/>
      <c r="AD33" s="311"/>
      <c r="AE33" s="311"/>
      <c r="AF33" s="223">
        <f>+P33</f>
        <v>0</v>
      </c>
      <c r="AI33" s="315"/>
      <c r="AJ33" s="316"/>
      <c r="AK33" s="77"/>
      <c r="AL33" s="128"/>
      <c r="AM33" s="129"/>
      <c r="AP33" s="87"/>
      <c r="AQ33" s="87"/>
      <c r="AT33" s="77"/>
      <c r="AU33" s="256"/>
      <c r="AV33" s="257"/>
      <c r="AW33" s="258"/>
      <c r="AX33" s="77"/>
      <c r="AY33" s="77"/>
      <c r="AZ33" s="77"/>
      <c r="BA33" s="77"/>
      <c r="BB33" s="77"/>
      <c r="BC33" s="77"/>
      <c r="BD33" s="77"/>
      <c r="BE33" s="77"/>
      <c r="BF33" s="77"/>
      <c r="BG33" s="77"/>
    </row>
    <row r="34" spans="1:59" ht="12.75">
      <c r="A34" s="80"/>
      <c r="B34" s="81"/>
      <c r="C34" s="81"/>
      <c r="D34" s="82"/>
      <c r="E34" s="20"/>
      <c r="F34" s="63"/>
      <c r="G34" s="63"/>
      <c r="H34" s="63"/>
      <c r="I34" s="45"/>
      <c r="J34" s="20"/>
      <c r="K34" s="180"/>
      <c r="L34" s="180"/>
      <c r="M34" s="180"/>
      <c r="N34" s="180"/>
      <c r="O34" s="180"/>
      <c r="P34" s="224"/>
      <c r="Q34" s="80"/>
      <c r="R34" s="81"/>
      <c r="S34" s="81"/>
      <c r="T34" s="82"/>
      <c r="U34" s="20"/>
      <c r="V34" s="63"/>
      <c r="W34" s="63"/>
      <c r="X34" s="63"/>
      <c r="Y34" s="45"/>
      <c r="Z34" s="20"/>
      <c r="AA34" s="180"/>
      <c r="AB34" s="180"/>
      <c r="AC34" s="180"/>
      <c r="AD34" s="180"/>
      <c r="AE34" s="180"/>
      <c r="AF34" s="224"/>
      <c r="AI34" s="315"/>
      <c r="AJ34" s="316"/>
      <c r="AK34" s="77"/>
      <c r="AL34" s="128"/>
      <c r="AM34" s="129"/>
      <c r="AP34" s="87"/>
      <c r="AQ34" s="87"/>
      <c r="AT34" s="77"/>
      <c r="AU34" s="256"/>
      <c r="AV34" s="257"/>
      <c r="AW34" s="258"/>
      <c r="AX34" s="77"/>
      <c r="AY34" s="77"/>
      <c r="AZ34" s="77"/>
      <c r="BA34" s="77"/>
      <c r="BB34" s="77"/>
      <c r="BC34" s="77"/>
      <c r="BD34" s="77"/>
      <c r="BE34" s="77"/>
      <c r="BF34" s="77"/>
      <c r="BG34" s="77"/>
    </row>
    <row r="35" spans="1:59" ht="12.75">
      <c r="A35" s="165" t="s">
        <v>70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7"/>
      <c r="Q35" s="165" t="s">
        <v>70</v>
      </c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7"/>
      <c r="AI35" s="315"/>
      <c r="AJ35" s="316"/>
      <c r="AK35" s="77"/>
      <c r="AL35" s="120">
        <v>0.0001</v>
      </c>
      <c r="AM35" s="121">
        <f>ROUND(DetrConiuge-(Ind*Rapp),2)</f>
        <v>800</v>
      </c>
      <c r="AO35">
        <f>IF(AP35&gt;0,1,0)</f>
        <v>0</v>
      </c>
      <c r="AP35" s="87"/>
      <c r="AQ35" s="87">
        <v>200</v>
      </c>
      <c r="AT35" s="77"/>
      <c r="AU35" s="256"/>
      <c r="AV35" s="257"/>
      <c r="AW35" s="258"/>
      <c r="AX35" s="77"/>
      <c r="AY35" s="77"/>
      <c r="AZ35" s="77"/>
      <c r="BA35" s="77"/>
      <c r="BB35" s="77"/>
      <c r="BC35" s="77"/>
      <c r="BD35" s="77"/>
      <c r="BE35" s="77"/>
      <c r="BF35" s="77"/>
      <c r="BG35" s="77"/>
    </row>
    <row r="36" spans="1:59" ht="12.75">
      <c r="A36" s="290" t="s">
        <v>32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2"/>
      <c r="Q36" s="290" t="s">
        <v>32</v>
      </c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2"/>
      <c r="AH36" s="184" t="s">
        <v>62</v>
      </c>
      <c r="AI36" s="315"/>
      <c r="AJ36" s="316"/>
      <c r="AK36" s="77"/>
      <c r="AL36" s="122">
        <v>1</v>
      </c>
      <c r="AM36" s="121">
        <f>+DetrRid</f>
        <v>690</v>
      </c>
      <c r="AO36">
        <f>IF(AP36&gt;0,1,0)</f>
        <v>0</v>
      </c>
      <c r="AP36" s="87"/>
      <c r="AQ36" s="87">
        <v>1500</v>
      </c>
      <c r="AT36" s="77"/>
      <c r="AU36" s="256"/>
      <c r="AV36" s="257"/>
      <c r="AW36" s="258"/>
      <c r="AX36" s="77"/>
      <c r="AY36" s="77"/>
      <c r="AZ36" s="77"/>
      <c r="BA36" s="77"/>
      <c r="BB36" s="77"/>
      <c r="BC36" s="77"/>
      <c r="BD36" s="77"/>
      <c r="BE36" s="77"/>
      <c r="BF36" s="77"/>
      <c r="BG36" s="77"/>
    </row>
    <row r="37" spans="1:59" ht="12.75">
      <c r="A37" s="225" t="s">
        <v>19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7"/>
      <c r="M37" s="3">
        <f>ROUND(AC37/12,0)</f>
        <v>0</v>
      </c>
      <c r="N37" s="20"/>
      <c r="O37" s="20"/>
      <c r="P37" s="62"/>
      <c r="Q37" s="225" t="s">
        <v>19</v>
      </c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7"/>
      <c r="AC37" s="3">
        <f>IF(CNG="SI",ROUND((VLOOKUP(Redd_Detraz,ConDetr,3)+VLOOKUP(Redd_Detraz,LettB,3))/12*Me_co,2),0)</f>
        <v>0</v>
      </c>
      <c r="AD37" s="20"/>
      <c r="AE37" s="20"/>
      <c r="AF37" s="62"/>
      <c r="AH37" s="184"/>
      <c r="AI37" s="315"/>
      <c r="AJ37" s="316"/>
      <c r="AK37" s="77"/>
      <c r="AL37" s="123">
        <v>10</v>
      </c>
      <c r="AM37" s="124">
        <f>ROUND(DetrConiuge-(Ind*Rapp),2)</f>
        <v>800</v>
      </c>
      <c r="AO37">
        <f>SUM(AO18:AO36)</f>
        <v>0</v>
      </c>
      <c r="AT37" s="77"/>
      <c r="AU37" s="256"/>
      <c r="AV37" s="257"/>
      <c r="AW37" s="258"/>
      <c r="AX37" s="77"/>
      <c r="AY37" s="77"/>
      <c r="AZ37" s="77"/>
      <c r="BA37" s="77"/>
      <c r="BB37" s="77"/>
      <c r="BC37" s="77"/>
      <c r="BD37" s="77"/>
      <c r="BE37" s="77"/>
      <c r="BF37" s="77"/>
      <c r="BG37" s="77"/>
    </row>
    <row r="38" spans="1:59" ht="13.5" thickBot="1">
      <c r="A38" s="225" t="s">
        <v>42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7"/>
      <c r="M38" s="3">
        <f>ROUND(AC38/12,0)</f>
        <v>0</v>
      </c>
      <c r="N38" s="20"/>
      <c r="O38" s="20"/>
      <c r="P38" s="62"/>
      <c r="Q38" s="225" t="s">
        <v>42</v>
      </c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7"/>
      <c r="AC38" s="3">
        <f>SUMIF(AB25:AB31,"&gt;0")</f>
        <v>0</v>
      </c>
      <c r="AD38" s="20"/>
      <c r="AE38" s="20"/>
      <c r="AF38" s="62"/>
      <c r="AH38" s="109">
        <f>IF(Lordo&gt;0,ROUND((VLOOKUP(Redd_Detraz,ConDetr,3)+VLOOKUP(Redd_Detraz,LettB,3)),5),0)</f>
        <v>0</v>
      </c>
      <c r="AI38" s="315"/>
      <c r="AJ38" s="110">
        <v>40000</v>
      </c>
      <c r="AK38" s="77"/>
      <c r="AL38" s="125"/>
      <c r="AM38" s="126">
        <f>+DetrRid</f>
        <v>690</v>
      </c>
      <c r="AT38" s="77"/>
      <c r="AU38" s="259"/>
      <c r="AV38" s="260"/>
      <c r="AW38" s="261"/>
      <c r="AX38" s="77"/>
      <c r="AY38" s="77"/>
      <c r="AZ38" s="77"/>
      <c r="BA38" s="77"/>
      <c r="BB38" s="77"/>
      <c r="BC38" s="77"/>
      <c r="BD38" s="77"/>
      <c r="BE38" s="77"/>
      <c r="BF38" s="77"/>
      <c r="BG38" s="77"/>
    </row>
    <row r="39" spans="1:59" ht="13.5" thickTop="1">
      <c r="A39" s="225" t="s">
        <v>56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7"/>
      <c r="M39" s="3">
        <f>IF(D33&gt;0,IF(P33&gt;0,ROUND(AC39/12,0),0),0)</f>
        <v>0</v>
      </c>
      <c r="N39" s="20"/>
      <c r="O39" s="20"/>
      <c r="P39" s="62"/>
      <c r="Q39" s="225" t="s">
        <v>56</v>
      </c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7"/>
      <c r="AC39" s="3">
        <f>IF(T33&gt;0,ROUND(dsaltri*T33/12*Y33/AF33,2),0)</f>
        <v>0</v>
      </c>
      <c r="AD39" s="20"/>
      <c r="AE39" s="20"/>
      <c r="AF39" s="62"/>
      <c r="AI39" s="315"/>
      <c r="AJ39" s="316">
        <v>80000</v>
      </c>
      <c r="AK39" s="77"/>
      <c r="AL39" s="118">
        <v>0</v>
      </c>
      <c r="AM39" s="119">
        <v>0</v>
      </c>
      <c r="AP39">
        <f>IF(AO37&gt;0,IF(VLOOKUP(AP42,abi,2)&lt;DetrRid,DetrRid,VLOOKUP(AP42,abi,2)),0)</f>
        <v>0</v>
      </c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</row>
    <row r="40" spans="1:59" ht="12.75">
      <c r="A40" s="172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4"/>
      <c r="Q40" s="172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4"/>
      <c r="AH40" s="184" t="s">
        <v>63</v>
      </c>
      <c r="AI40" s="315"/>
      <c r="AJ40" s="316"/>
      <c r="AK40" s="77"/>
      <c r="AL40" s="120">
        <v>0.0001</v>
      </c>
      <c r="AM40" s="121">
        <f>ROUND(DetrRid*Rap1,2)</f>
        <v>1380</v>
      </c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</row>
    <row r="41" spans="1:59" ht="12.75">
      <c r="A41" s="225" t="s">
        <v>76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7"/>
      <c r="M41" s="3">
        <f>SUM(M37:M39)</f>
        <v>0</v>
      </c>
      <c r="N41" s="20"/>
      <c r="O41" s="20"/>
      <c r="P41" s="62"/>
      <c r="Q41" s="225" t="s">
        <v>76</v>
      </c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7"/>
      <c r="AC41" s="3">
        <f>SUM(AC37:AC39)</f>
        <v>0</v>
      </c>
      <c r="AD41" s="20"/>
      <c r="AE41" s="20"/>
      <c r="AF41" s="62"/>
      <c r="AH41" s="184"/>
      <c r="AI41" s="315"/>
      <c r="AJ41" s="316"/>
      <c r="AK41" s="77"/>
      <c r="AL41" s="122">
        <v>1</v>
      </c>
      <c r="AM41" s="121">
        <f>ROUND(DetrRid*Rap1,2)</f>
        <v>1380</v>
      </c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</row>
    <row r="42" spans="1:59" ht="12.75">
      <c r="A42" s="165" t="s">
        <v>71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7"/>
      <c r="Q42" s="165" t="s">
        <v>71</v>
      </c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7"/>
      <c r="AH42" s="106">
        <f>dsfig+IF($V$25&gt;0,dsfg3-dsfig,0)+IF($Y$25&gt;0,dsfhc,0)</f>
        <v>0</v>
      </c>
      <c r="AI42" s="315"/>
      <c r="AJ42" s="316"/>
      <c r="AK42" s="77"/>
      <c r="AL42" s="123">
        <v>10</v>
      </c>
      <c r="AM42" s="124">
        <f>ROUND(DetrRid*Rap1,2)</f>
        <v>1380</v>
      </c>
      <c r="AP42" t="s">
        <v>58</v>
      </c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</row>
    <row r="43" spans="1:59" ht="12.75">
      <c r="A43" s="155" t="s">
        <v>73</v>
      </c>
      <c r="B43" s="156"/>
      <c r="C43" s="156"/>
      <c r="D43" s="156"/>
      <c r="E43" s="156"/>
      <c r="F43" s="157"/>
      <c r="G43" s="46" t="str">
        <f>IF(E17&gt;0,IF(G44&gt;0,Vuota1,"x"),Vuota1)</f>
        <v>        </v>
      </c>
      <c r="H43" s="63"/>
      <c r="I43" s="312" t="s">
        <v>141</v>
      </c>
      <c r="J43" s="158"/>
      <c r="K43" s="158"/>
      <c r="L43" s="158"/>
      <c r="M43" s="2">
        <v>30</v>
      </c>
      <c r="N43" s="20"/>
      <c r="O43" s="20"/>
      <c r="P43" s="62"/>
      <c r="Q43" s="155" t="s">
        <v>73</v>
      </c>
      <c r="R43" s="156"/>
      <c r="S43" s="156"/>
      <c r="T43" s="156"/>
      <c r="U43" s="156"/>
      <c r="V43" s="157"/>
      <c r="W43" s="46" t="str">
        <f>IF(W44&gt;0,Vuota1,"x")</f>
        <v>x</v>
      </c>
      <c r="X43" s="63"/>
      <c r="Y43" s="312" t="s">
        <v>75</v>
      </c>
      <c r="Z43" s="158"/>
      <c r="AA43" s="158"/>
      <c r="AB43" s="158"/>
      <c r="AC43" s="2">
        <v>365</v>
      </c>
      <c r="AD43" s="20"/>
      <c r="AE43" s="20"/>
      <c r="AF43" s="62"/>
      <c r="AI43" s="315"/>
      <c r="AJ43" s="114">
        <v>1000000000</v>
      </c>
      <c r="AK43" s="77"/>
      <c r="AL43" s="130">
        <v>0</v>
      </c>
      <c r="AM43" s="124">
        <v>0</v>
      </c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</row>
    <row r="44" spans="1:59" ht="12.75">
      <c r="A44" s="67" t="s">
        <v>74</v>
      </c>
      <c r="B44" s="68"/>
      <c r="C44" s="68"/>
      <c r="D44" s="68"/>
      <c r="E44" s="68"/>
      <c r="F44" s="20"/>
      <c r="G44" s="2"/>
      <c r="H44" s="63"/>
      <c r="I44" s="63"/>
      <c r="J44" s="63"/>
      <c r="K44" s="158" t="s">
        <v>77</v>
      </c>
      <c r="L44" s="158"/>
      <c r="M44" s="158"/>
      <c r="N44" s="159"/>
      <c r="O44" s="39">
        <f>IF(E17&gt;0,ROUND(AE44/365*M43,0),0)</f>
        <v>0</v>
      </c>
      <c r="P44" s="62"/>
      <c r="Q44" s="67" t="s">
        <v>74</v>
      </c>
      <c r="R44" s="68"/>
      <c r="S44" s="68"/>
      <c r="T44" s="68"/>
      <c r="U44" s="68"/>
      <c r="V44" s="20"/>
      <c r="W44" s="2">
        <f>+G44</f>
        <v>0</v>
      </c>
      <c r="X44" s="63"/>
      <c r="Y44" s="63"/>
      <c r="Z44" s="63"/>
      <c r="AA44" s="158" t="s">
        <v>77</v>
      </c>
      <c r="AB44" s="158"/>
      <c r="AC44" s="158"/>
      <c r="AD44" s="159"/>
      <c r="AE44" s="39">
        <f>IF(Lordo&gt;0,IF(W44&gt;0,IF(Redd_Detraz&lt;8000.01,IF(AH44&gt;AH47,AH44,AH47),AH44),IF(Redd_Detraz&lt;8000.01,IF(AH44&gt;AH46,AH44,AH46),AH44)),0)</f>
        <v>0</v>
      </c>
      <c r="AF44" s="62"/>
      <c r="AH44" s="373">
        <f>IF(Redd_Detraz&gt;0,ROUND((VLOOKUP(Redd_Detraz,Altre_detraz,2)/365*AC43+VLOOKUP(Redd_Detraz,Aum_altre,2)),5),0)</f>
        <v>0</v>
      </c>
      <c r="AI44" s="315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</row>
    <row r="45" spans="1:59" ht="12.75" customHeight="1" thickBot="1">
      <c r="A45" s="6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70"/>
      <c r="Q45" s="69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70"/>
      <c r="AI45" s="315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</row>
    <row r="46" spans="1:59" ht="12.75" customHeight="1" thickBot="1">
      <c r="A46" s="220" t="s">
        <v>142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2"/>
      <c r="O46" s="228">
        <f>+E17-L18</f>
        <v>0</v>
      </c>
      <c r="P46" s="228"/>
      <c r="Q46" s="71" t="s">
        <v>20</v>
      </c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228">
        <f>+Reddito_imponibile_mensile+Gratif_Anno</f>
        <v>0</v>
      </c>
      <c r="AF46" s="228"/>
      <c r="AH46" s="106">
        <v>690</v>
      </c>
      <c r="AI46" s="315"/>
      <c r="AJ46" s="106">
        <v>0.001</v>
      </c>
      <c r="AK46" s="87"/>
      <c r="AL46" s="106">
        <f>VLOOKUP(Rapp,quin,2)</f>
        <v>0</v>
      </c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</row>
    <row r="47" spans="1:59" ht="12.75" customHeight="1" thickBot="1">
      <c r="A47" s="220" t="s">
        <v>143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2"/>
      <c r="O47" s="162">
        <f>ROUND(IreTab/12,5)</f>
        <v>0</v>
      </c>
      <c r="P47" s="162"/>
      <c r="Q47" s="35" t="s">
        <v>60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14">
        <f>IF(Lordo&gt;0,IF(Reddito_imponibile_mensile&gt;0,ROUND((Reddito_imponibile_mensile-VLOOKUP(Reddito_imponibile_mensile,Aliquote,1))*VLOOKUP(Reddito_imponibile_mensile,Aliquote,3),5)+VLOOKUP(Reddito_imponibile_mensile,Aliquote,4),0)+IF(Gratif_Anno&gt;0,ROUND(Gratif_Anno*VLOOKUP(ReddNetto,Aliquote,3),5),0),0)</f>
        <v>0</v>
      </c>
      <c r="AF47" s="314"/>
      <c r="AH47" s="106">
        <v>1380</v>
      </c>
      <c r="AI47" s="315"/>
      <c r="AJ47" s="106">
        <v>15000</v>
      </c>
      <c r="AK47" s="87"/>
      <c r="AL47" s="106">
        <f>+DetrRid</f>
        <v>690</v>
      </c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</row>
    <row r="48" spans="1:59" ht="13.5" thickBot="1">
      <c r="A48" s="220" t="s">
        <v>144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2"/>
      <c r="O48" s="162">
        <f>+M41+O44</f>
        <v>0</v>
      </c>
      <c r="P48" s="162"/>
      <c r="Q48" s="37" t="s">
        <v>36</v>
      </c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162">
        <f>+AC41+AE44</f>
        <v>0</v>
      </c>
      <c r="AF48" s="162"/>
      <c r="AI48" s="315"/>
      <c r="AJ48" s="106">
        <v>40000</v>
      </c>
      <c r="AK48" s="87"/>
      <c r="AL48" s="106">
        <f>VLOOKUP(Rap1,ottan,2)</f>
        <v>1380</v>
      </c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</row>
    <row r="49" spans="1:59" ht="16.5" thickBot="1">
      <c r="A49" s="296" t="s">
        <v>147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97"/>
      <c r="O49" s="326">
        <f>IF(O47-O48&gt;0,O47-O48,0)</f>
        <v>0</v>
      </c>
      <c r="P49" s="178"/>
      <c r="Q49" s="71" t="s">
        <v>61</v>
      </c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177">
        <f>+AE47-AE48</f>
        <v>0</v>
      </c>
      <c r="AF49" s="178"/>
      <c r="AI49" s="315"/>
      <c r="AJ49" s="106">
        <v>80000</v>
      </c>
      <c r="AK49" s="87"/>
      <c r="AL49" s="106">
        <v>0</v>
      </c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</row>
    <row r="50" spans="1:59" ht="16.5" thickBot="1">
      <c r="A50" s="190" t="s">
        <v>146</v>
      </c>
      <c r="B50" s="190"/>
      <c r="C50" s="190"/>
      <c r="D50" s="190"/>
      <c r="E50" s="191" t="str">
        <f>IF(E17&gt;0,VLOOKUP(ReddNetto,Aliquote,3),Vuota1)</f>
        <v>        </v>
      </c>
      <c r="F50" s="191"/>
      <c r="G50" s="152"/>
      <c r="H50" s="152"/>
      <c r="I50" s="152"/>
      <c r="J50" s="152"/>
      <c r="K50" s="323" t="s">
        <v>131</v>
      </c>
      <c r="L50" s="323"/>
      <c r="M50" s="323"/>
      <c r="N50" s="323"/>
      <c r="O50" s="324">
        <f>+O49</f>
        <v>0</v>
      </c>
      <c r="P50" s="325"/>
      <c r="Q50" s="72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73"/>
      <c r="AI50" s="315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</row>
    <row r="51" spans="17:59" ht="12.75">
      <c r="Q51" s="57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62"/>
      <c r="AI51" s="315"/>
      <c r="AJ51" s="137">
        <v>0</v>
      </c>
      <c r="AK51" s="138"/>
      <c r="AL51" s="115">
        <v>0</v>
      </c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</row>
    <row r="52" spans="17:59" ht="13.5">
      <c r="Q52" s="168" t="s">
        <v>21</v>
      </c>
      <c r="R52" s="169"/>
      <c r="S52" s="169"/>
      <c r="T52" s="153"/>
      <c r="U52" s="163" t="s">
        <v>22</v>
      </c>
      <c r="V52" s="154"/>
      <c r="W52" s="164"/>
      <c r="X52" s="163" t="s">
        <v>23</v>
      </c>
      <c r="Y52" s="154"/>
      <c r="Z52" s="164"/>
      <c r="AA52" s="163" t="s">
        <v>24</v>
      </c>
      <c r="AB52" s="164"/>
      <c r="AC52" s="52" t="s">
        <v>25</v>
      </c>
      <c r="AD52" s="163" t="s">
        <v>26</v>
      </c>
      <c r="AE52" s="164"/>
      <c r="AF52" s="62"/>
      <c r="AI52" s="315"/>
      <c r="AJ52" s="139">
        <v>29000.01</v>
      </c>
      <c r="AK52" s="140"/>
      <c r="AL52" s="116">
        <v>10</v>
      </c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</row>
    <row r="53" spans="17:59" ht="12.75">
      <c r="Q53" s="163" t="s">
        <v>27</v>
      </c>
      <c r="R53" s="154"/>
      <c r="S53" s="154"/>
      <c r="T53" s="164"/>
      <c r="U53" s="53"/>
      <c r="V53" s="2">
        <v>1.4</v>
      </c>
      <c r="W53" s="53"/>
      <c r="X53" s="175">
        <f>+ReddNetto</f>
        <v>0</v>
      </c>
      <c r="Y53" s="219"/>
      <c r="Z53" s="176"/>
      <c r="AA53" s="175">
        <f>ROUND(X53*V53%,2)</f>
        <v>0</v>
      </c>
      <c r="AB53" s="176"/>
      <c r="AC53" s="2">
        <v>10</v>
      </c>
      <c r="AD53" s="175">
        <f>ROUND(AA53/AC53,2)</f>
        <v>0</v>
      </c>
      <c r="AE53" s="176"/>
      <c r="AF53" s="62"/>
      <c r="AI53" s="315"/>
      <c r="AJ53" s="139">
        <v>29200.01</v>
      </c>
      <c r="AK53" s="140"/>
      <c r="AL53" s="116">
        <v>20</v>
      </c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</row>
    <row r="54" spans="17:59" ht="12.75">
      <c r="Q54" s="163" t="s">
        <v>28</v>
      </c>
      <c r="R54" s="154"/>
      <c r="S54" s="154"/>
      <c r="T54" s="164"/>
      <c r="U54" s="53"/>
      <c r="V54" s="2">
        <v>0.4</v>
      </c>
      <c r="W54" s="53"/>
      <c r="X54" s="175">
        <f>+ReddNetto</f>
        <v>0</v>
      </c>
      <c r="Y54" s="219"/>
      <c r="Z54" s="176"/>
      <c r="AA54" s="175">
        <f>ROUND(X54*V54%,2)</f>
        <v>0</v>
      </c>
      <c r="AB54" s="176"/>
      <c r="AC54" s="52" t="s">
        <v>25</v>
      </c>
      <c r="AD54" s="163" t="s">
        <v>26</v>
      </c>
      <c r="AE54" s="164"/>
      <c r="AF54" s="62"/>
      <c r="AI54" s="315"/>
      <c r="AJ54" s="139">
        <v>34700.01</v>
      </c>
      <c r="AK54" s="140"/>
      <c r="AL54" s="116">
        <v>30</v>
      </c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</row>
    <row r="55" spans="17:59" ht="12.75">
      <c r="Q55" s="282" t="s">
        <v>87</v>
      </c>
      <c r="R55" s="282"/>
      <c r="S55" s="84">
        <v>16</v>
      </c>
      <c r="T55" s="282" t="s">
        <v>88</v>
      </c>
      <c r="U55" s="282"/>
      <c r="V55" s="282"/>
      <c r="W55" s="282"/>
      <c r="X55" s="283" t="s">
        <v>89</v>
      </c>
      <c r="Y55" s="283"/>
      <c r="Z55" s="50" t="s">
        <v>79</v>
      </c>
      <c r="AA55" s="51"/>
      <c r="AB55" s="39">
        <f>ROUND(AA54*30%,2)</f>
        <v>0</v>
      </c>
      <c r="AC55" s="2">
        <v>10</v>
      </c>
      <c r="AD55" s="175">
        <f>ROUND(AB55/AC55,2)</f>
        <v>0</v>
      </c>
      <c r="AE55" s="176"/>
      <c r="AF55" s="62"/>
      <c r="AI55" s="315"/>
      <c r="AJ55" s="139">
        <v>35000.01</v>
      </c>
      <c r="AK55" s="140"/>
      <c r="AL55" s="116">
        <v>20</v>
      </c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</row>
    <row r="56" spans="17:59" ht="12.75">
      <c r="Q56" s="57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62"/>
      <c r="AI56" s="315"/>
      <c r="AJ56" s="139">
        <v>35100.01</v>
      </c>
      <c r="AK56" s="140"/>
      <c r="AL56" s="116">
        <v>10</v>
      </c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</row>
    <row r="57" spans="17:59" ht="12.75" customHeight="1" thickBot="1">
      <c r="Q57" s="57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62"/>
      <c r="AI57" s="315"/>
      <c r="AJ57" s="141">
        <v>35200.01</v>
      </c>
      <c r="AK57" s="142"/>
      <c r="AL57" s="117">
        <v>0</v>
      </c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</row>
    <row r="58" spans="17:59" ht="12.75">
      <c r="Q58" s="74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</row>
    <row r="59" spans="35:39" ht="12.75">
      <c r="AI59" t="s">
        <v>46</v>
      </c>
      <c r="AJ59" s="19" t="s">
        <v>47</v>
      </c>
      <c r="AK59" s="171" t="s">
        <v>52</v>
      </c>
      <c r="AL59" s="18" t="s">
        <v>48</v>
      </c>
      <c r="AM59" s="18" t="s">
        <v>53</v>
      </c>
    </row>
    <row r="60" spans="36:39" ht="12.75">
      <c r="AJ60" s="86">
        <v>95000</v>
      </c>
      <c r="AK60" s="171"/>
      <c r="AL60" s="106">
        <v>15000</v>
      </c>
      <c r="AM60" s="106">
        <f>IF(AK61&gt;1,ROUND((AK61-1)*AL60,2)+AJ60,AJ60)</f>
        <v>95000</v>
      </c>
    </row>
    <row r="61" spans="36:41" ht="12.75">
      <c r="AJ61" s="18" t="s">
        <v>55</v>
      </c>
      <c r="AK61" s="87">
        <f>+N_Fgl</f>
        <v>0</v>
      </c>
      <c r="AL61" s="18" t="s">
        <v>54</v>
      </c>
      <c r="AM61" s="18" t="s">
        <v>45</v>
      </c>
      <c r="AN61" s="18"/>
      <c r="AO61" s="18" t="s">
        <v>41</v>
      </c>
    </row>
    <row r="62" spans="35:44" ht="12.75">
      <c r="AI62" t="s">
        <v>51</v>
      </c>
      <c r="AJ62" s="106">
        <f>IF(Som_fg&gt;3,1000,800)</f>
        <v>800</v>
      </c>
      <c r="AL62" s="106">
        <f>ROUND(fgl*VLOOKUP($AO$62,IndRapp,2),2)</f>
        <v>0</v>
      </c>
      <c r="AM62" s="112">
        <v>0</v>
      </c>
      <c r="AN62" s="77">
        <v>0</v>
      </c>
      <c r="AO62" s="83">
        <f>ROUND((ImFisFin-Redd_Detraz)/ImFisFin,6)</f>
        <v>1</v>
      </c>
      <c r="AQ62" s="87">
        <f>+dsfig</f>
        <v>0</v>
      </c>
      <c r="AR62" s="87">
        <f>+AQ62</f>
        <v>0</v>
      </c>
    </row>
    <row r="63" spans="35:44" ht="12.75">
      <c r="AI63" t="s">
        <v>49</v>
      </c>
      <c r="AJ63" s="106">
        <f>IF(Som_fg&gt;3,1100,900)</f>
        <v>900</v>
      </c>
      <c r="AL63" s="106">
        <f>ROUND(AJ63*VLOOKUP($AO$62,IndRapp,2),2)</f>
        <v>0</v>
      </c>
      <c r="AM63" s="113">
        <v>0.0001</v>
      </c>
      <c r="AN63" s="77">
        <f>+AO62</f>
        <v>1</v>
      </c>
      <c r="AQ63" s="87">
        <f>+dsfg3</f>
        <v>0</v>
      </c>
      <c r="AR63" s="87">
        <f>+AQ63</f>
        <v>0</v>
      </c>
    </row>
    <row r="64" spans="35:44" ht="12.75">
      <c r="AI64" t="s">
        <v>50</v>
      </c>
      <c r="AJ64" s="106">
        <v>220</v>
      </c>
      <c r="AL64" s="106">
        <f>ROUND(fglh*VLOOKUP($AO$62,IndRapp,2),2)</f>
        <v>0</v>
      </c>
      <c r="AM64" s="110">
        <v>1</v>
      </c>
      <c r="AN64" s="77">
        <v>0</v>
      </c>
      <c r="AQ64" s="87">
        <f>+dsfhc</f>
        <v>0</v>
      </c>
      <c r="AR64" s="87">
        <f>+AQ64</f>
        <v>0</v>
      </c>
    </row>
    <row r="65" spans="38:40" ht="12.75">
      <c r="AL65" s="85"/>
      <c r="AM65" s="110">
        <v>10</v>
      </c>
      <c r="AN65" s="77">
        <f>+AO62</f>
        <v>1</v>
      </c>
    </row>
    <row r="66" spans="35:38" ht="12.75">
      <c r="AI66" t="s">
        <v>57</v>
      </c>
      <c r="AJ66" s="87">
        <v>750</v>
      </c>
      <c r="AL66" s="106">
        <f>ROUND(Altri*VLOOKUP(AO67,Rapp_Altri,2),4)</f>
        <v>0</v>
      </c>
    </row>
    <row r="67" ht="12.75">
      <c r="AO67" s="83">
        <f>TRUNC((80000-Redd_Detraz)/80000,6)</f>
        <v>1</v>
      </c>
    </row>
    <row r="68" spans="35:41" ht="12.75">
      <c r="AI68" t="s">
        <v>72</v>
      </c>
      <c r="AL68" t="s">
        <v>41</v>
      </c>
      <c r="AN68" s="131">
        <v>0</v>
      </c>
      <c r="AO68" s="87">
        <v>0</v>
      </c>
    </row>
    <row r="69" spans="35:41" ht="12.75">
      <c r="AI69" s="106">
        <v>1</v>
      </c>
      <c r="AJ69" s="106">
        <v>1840</v>
      </c>
      <c r="AL69" s="83">
        <f>IF(ROUND((15000-Redd_Detraz)/7000,6)&gt;0,ROUND((15000-Redd_Detraz)/7000,6),0)</f>
        <v>2.142857</v>
      </c>
      <c r="AN69" s="132">
        <v>0.0001</v>
      </c>
      <c r="AO69" s="133">
        <f>+AO67</f>
        <v>1</v>
      </c>
    </row>
    <row r="70" spans="35:41" ht="12.75">
      <c r="AI70" s="106">
        <v>8000.01</v>
      </c>
      <c r="AJ70" s="106">
        <f>1338+ROUND(502*AL69,2)</f>
        <v>2413.71</v>
      </c>
      <c r="AL70">
        <f>ROUND((55000-Redd_Detraz)/40000,6)</f>
        <v>1.375</v>
      </c>
      <c r="AN70" s="107">
        <v>1</v>
      </c>
      <c r="AO70" s="87">
        <v>0</v>
      </c>
    </row>
    <row r="71" spans="35:41" ht="12.75">
      <c r="AI71" s="106">
        <v>15000.01</v>
      </c>
      <c r="AJ71" s="106">
        <f>ROUND(1338*AL70,2)</f>
        <v>1839.75</v>
      </c>
      <c r="AN71" s="107">
        <v>10</v>
      </c>
      <c r="AO71" s="133">
        <f>+AO67</f>
        <v>1</v>
      </c>
    </row>
    <row r="72" spans="35:41" ht="12.75">
      <c r="AI72" s="106">
        <v>55000.01</v>
      </c>
      <c r="AJ72" s="106">
        <v>0</v>
      </c>
      <c r="AN72" s="12"/>
      <c r="AO72" s="83"/>
    </row>
    <row r="73" spans="35:36" ht="12.75">
      <c r="AI73" s="106">
        <v>100000000</v>
      </c>
      <c r="AJ73" s="106">
        <v>0</v>
      </c>
    </row>
    <row r="75" spans="35:36" ht="12.75">
      <c r="AI75" s="108">
        <v>0</v>
      </c>
      <c r="AJ75" s="87">
        <v>0</v>
      </c>
    </row>
    <row r="76" spans="35:36" ht="12.75">
      <c r="AI76" s="108">
        <v>23000.01</v>
      </c>
      <c r="AJ76" s="87">
        <v>10</v>
      </c>
    </row>
    <row r="77" spans="35:36" ht="12.75">
      <c r="AI77" s="108">
        <v>24000.01</v>
      </c>
      <c r="AJ77" s="87">
        <v>20</v>
      </c>
    </row>
    <row r="78" spans="35:36" ht="12.75">
      <c r="AI78" s="108">
        <v>25000.01</v>
      </c>
      <c r="AJ78" s="87">
        <v>30</v>
      </c>
    </row>
    <row r="79" spans="35:36" ht="12.75">
      <c r="AI79" s="108">
        <v>26000.01</v>
      </c>
      <c r="AJ79" s="87">
        <v>40</v>
      </c>
    </row>
    <row r="80" spans="35:36" ht="12.75">
      <c r="AI80" s="108">
        <v>27700.01</v>
      </c>
      <c r="AJ80" s="87">
        <v>25</v>
      </c>
    </row>
    <row r="81" spans="1:36" ht="12.75">
      <c r="A81" s="4"/>
      <c r="AI81" s="108">
        <v>28000.01</v>
      </c>
      <c r="AJ81" s="87">
        <v>0</v>
      </c>
    </row>
    <row r="111" ht="12.75">
      <c r="A111" s="4" t="s">
        <v>100</v>
      </c>
    </row>
    <row r="124" ht="12.75">
      <c r="A124" s="90"/>
    </row>
  </sheetData>
  <sheetProtection password="BE24" sheet="1" objects="1" scenarios="1" selectLockedCells="1"/>
  <mergeCells count="164">
    <mergeCell ref="O50:P50"/>
    <mergeCell ref="X12:AA12"/>
    <mergeCell ref="H11:K11"/>
    <mergeCell ref="X11:AA11"/>
    <mergeCell ref="O48:P48"/>
    <mergeCell ref="O49:P49"/>
    <mergeCell ref="A37:L37"/>
    <mergeCell ref="A38:L38"/>
    <mergeCell ref="H24:J24"/>
    <mergeCell ref="H12:K12"/>
    <mergeCell ref="E9:G9"/>
    <mergeCell ref="H9:K9"/>
    <mergeCell ref="E10:G10"/>
    <mergeCell ref="H10:K10"/>
    <mergeCell ref="M6:P6"/>
    <mergeCell ref="O47:P47"/>
    <mergeCell ref="A39:L39"/>
    <mergeCell ref="A40:P40"/>
    <mergeCell ref="A41:L41"/>
    <mergeCell ref="A42:P42"/>
    <mergeCell ref="A35:P35"/>
    <mergeCell ref="A36:P36"/>
    <mergeCell ref="E11:G11"/>
    <mergeCell ref="E12:G12"/>
    <mergeCell ref="A43:F43"/>
    <mergeCell ref="I43:L43"/>
    <mergeCell ref="K44:N44"/>
    <mergeCell ref="O46:P46"/>
    <mergeCell ref="A46:N46"/>
    <mergeCell ref="M25:O27"/>
    <mergeCell ref="B24:D24"/>
    <mergeCell ref="E24:G24"/>
    <mergeCell ref="P25:P27"/>
    <mergeCell ref="A33:C33"/>
    <mergeCell ref="K33:O34"/>
    <mergeCell ref="P33:P34"/>
    <mergeCell ref="M28:P29"/>
    <mergeCell ref="E13:G13"/>
    <mergeCell ref="E14:G14"/>
    <mergeCell ref="E15:G15"/>
    <mergeCell ref="H15:K15"/>
    <mergeCell ref="H14:K14"/>
    <mergeCell ref="H13:K13"/>
    <mergeCell ref="E8:G8"/>
    <mergeCell ref="H8:K8"/>
    <mergeCell ref="D5:I5"/>
    <mergeCell ref="J5:L5"/>
    <mergeCell ref="C6:G6"/>
    <mergeCell ref="A7:G7"/>
    <mergeCell ref="H7:L7"/>
    <mergeCell ref="A6:B6"/>
    <mergeCell ref="I6:K6"/>
    <mergeCell ref="N5:P5"/>
    <mergeCell ref="A1:P1"/>
    <mergeCell ref="A2:P2"/>
    <mergeCell ref="A3:P3"/>
    <mergeCell ref="J4:K4"/>
    <mergeCell ref="B4:G4"/>
    <mergeCell ref="Q1:AF1"/>
    <mergeCell ref="Q2:AF2"/>
    <mergeCell ref="AF33:AF34"/>
    <mergeCell ref="U15:W15"/>
    <mergeCell ref="Q7:W7"/>
    <mergeCell ref="Q6:S6"/>
    <mergeCell ref="Q20:AF20"/>
    <mergeCell ref="U10:W10"/>
    <mergeCell ref="U11:W11"/>
    <mergeCell ref="U12:W12"/>
    <mergeCell ref="AH36:AH37"/>
    <mergeCell ref="AH40:AH41"/>
    <mergeCell ref="AI1:AL1"/>
    <mergeCell ref="AI12:AM12"/>
    <mergeCell ref="AI19:AI57"/>
    <mergeCell ref="AJ19:AJ37"/>
    <mergeCell ref="AJ39:AJ42"/>
    <mergeCell ref="Q3:AF3"/>
    <mergeCell ref="T5:Y5"/>
    <mergeCell ref="Z5:AB5"/>
    <mergeCell ref="AK59:AK60"/>
    <mergeCell ref="Q40:AF40"/>
    <mergeCell ref="AA54:AB54"/>
    <mergeCell ref="AE49:AF49"/>
    <mergeCell ref="AE47:AF47"/>
    <mergeCell ref="AA52:AB52"/>
    <mergeCell ref="AD53:AE53"/>
    <mergeCell ref="AD55:AE55"/>
    <mergeCell ref="AD54:AE54"/>
    <mergeCell ref="Q42:AF42"/>
    <mergeCell ref="Q52:T52"/>
    <mergeCell ref="AA53:AB53"/>
    <mergeCell ref="X53:Z53"/>
    <mergeCell ref="U52:W52"/>
    <mergeCell ref="Q53:T53"/>
    <mergeCell ref="Q54:T54"/>
    <mergeCell ref="Q55:R55"/>
    <mergeCell ref="AC25:AE27"/>
    <mergeCell ref="AA33:AE34"/>
    <mergeCell ref="AD52:AE52"/>
    <mergeCell ref="AE48:AF48"/>
    <mergeCell ref="AE46:AF46"/>
    <mergeCell ref="Y43:AB43"/>
    <mergeCell ref="AA44:AD44"/>
    <mergeCell ref="X52:Z52"/>
    <mergeCell ref="Q33:S33"/>
    <mergeCell ref="Q21:S21"/>
    <mergeCell ref="Q43:V43"/>
    <mergeCell ref="Q39:AB39"/>
    <mergeCell ref="Q36:AF36"/>
    <mergeCell ref="AF25:AF27"/>
    <mergeCell ref="R24:T24"/>
    <mergeCell ref="U24:W24"/>
    <mergeCell ref="X24:Z24"/>
    <mergeCell ref="Q35:AF35"/>
    <mergeCell ref="T55:W55"/>
    <mergeCell ref="X55:Y55"/>
    <mergeCell ref="X14:AA14"/>
    <mergeCell ref="U13:W13"/>
    <mergeCell ref="X13:AA13"/>
    <mergeCell ref="X17:AA17"/>
    <mergeCell ref="X54:Z54"/>
    <mergeCell ref="U17:W17"/>
    <mergeCell ref="Q41:AB41"/>
    <mergeCell ref="Q38:AB38"/>
    <mergeCell ref="AU1:AW2"/>
    <mergeCell ref="AU21:AW25"/>
    <mergeCell ref="AU4:AW4"/>
    <mergeCell ref="AU5:AW5"/>
    <mergeCell ref="AU3:AW3"/>
    <mergeCell ref="X15:AA15"/>
    <mergeCell ref="U9:W9"/>
    <mergeCell ref="X7:AB7"/>
    <mergeCell ref="X9:AA9"/>
    <mergeCell ref="X10:AA10"/>
    <mergeCell ref="U8:W8"/>
    <mergeCell ref="X8:AA8"/>
    <mergeCell ref="Z4:AA4"/>
    <mergeCell ref="V6:Z6"/>
    <mergeCell ref="AB6:AC6"/>
    <mergeCell ref="T6:U6"/>
    <mergeCell ref="AD5:AF5"/>
    <mergeCell ref="AU30:AW38"/>
    <mergeCell ref="A15:D15"/>
    <mergeCell ref="A14:D14"/>
    <mergeCell ref="U14:W14"/>
    <mergeCell ref="E17:G17"/>
    <mergeCell ref="A20:P20"/>
    <mergeCell ref="X16:AA16"/>
    <mergeCell ref="A21:C21"/>
    <mergeCell ref="AC16:AD16"/>
    <mergeCell ref="A47:N47"/>
    <mergeCell ref="Q16:T16"/>
    <mergeCell ref="U16:W16"/>
    <mergeCell ref="H17:K17"/>
    <mergeCell ref="H16:K16"/>
    <mergeCell ref="A16:D16"/>
    <mergeCell ref="E16:G16"/>
    <mergeCell ref="H18:K18"/>
    <mergeCell ref="A17:D17"/>
    <mergeCell ref="Q37:AB37"/>
    <mergeCell ref="A48:N48"/>
    <mergeCell ref="A49:N49"/>
    <mergeCell ref="A50:D50"/>
    <mergeCell ref="E50:F50"/>
    <mergeCell ref="K50:N50"/>
  </mergeCells>
  <conditionalFormatting sqref="Z27">
    <cfRule type="expression" priority="1" dxfId="0" stopIfTrue="1">
      <formula>$T$23&gt;2</formula>
    </cfRule>
  </conditionalFormatting>
  <conditionalFormatting sqref="Z28">
    <cfRule type="expression" priority="2" dxfId="0" stopIfTrue="1">
      <formula>$T$23&gt;3</formula>
    </cfRule>
  </conditionalFormatting>
  <conditionalFormatting sqref="Z29">
    <cfRule type="expression" priority="3" dxfId="0" stopIfTrue="1">
      <formula>$T$23&gt;4</formula>
    </cfRule>
  </conditionalFormatting>
  <conditionalFormatting sqref="Z30">
    <cfRule type="expression" priority="4" dxfId="0" stopIfTrue="1">
      <formula>$T$23&gt;5</formula>
    </cfRule>
  </conditionalFormatting>
  <conditionalFormatting sqref="Z31">
    <cfRule type="expression" priority="5" dxfId="0" stopIfTrue="1">
      <formula>$T$23&gt;6</formula>
    </cfRule>
  </conditionalFormatting>
  <conditionalFormatting sqref="AB25">
    <cfRule type="expression" priority="6" dxfId="1" stopIfTrue="1">
      <formula>$T$23&gt;0</formula>
    </cfRule>
  </conditionalFormatting>
  <conditionalFormatting sqref="AB26">
    <cfRule type="expression" priority="7" dxfId="1" stopIfTrue="1">
      <formula>$T$23&gt;1</formula>
    </cfRule>
  </conditionalFormatting>
  <conditionalFormatting sqref="AB27">
    <cfRule type="expression" priority="8" dxfId="1" stopIfTrue="1">
      <formula>$T$23&gt;2</formula>
    </cfRule>
  </conditionalFormatting>
  <conditionalFormatting sqref="AB28">
    <cfRule type="expression" priority="9" dxfId="1" stopIfTrue="1">
      <formula>$T$23&gt;3</formula>
    </cfRule>
  </conditionalFormatting>
  <conditionalFormatting sqref="AB29">
    <cfRule type="expression" priority="10" dxfId="1" stopIfTrue="1">
      <formula>$T$23&gt;4</formula>
    </cfRule>
  </conditionalFormatting>
  <conditionalFormatting sqref="AB30">
    <cfRule type="expression" priority="11" dxfId="1" stopIfTrue="1">
      <formula>$T$23&gt;5</formula>
    </cfRule>
  </conditionalFormatting>
  <conditionalFormatting sqref="AB31">
    <cfRule type="expression" priority="12" dxfId="1" stopIfTrue="1">
      <formula>$T$23&gt;6</formula>
    </cfRule>
  </conditionalFormatting>
  <conditionalFormatting sqref="Q26">
    <cfRule type="expression" priority="13" dxfId="2" stopIfTrue="1">
      <formula>$T$23&gt;1</formula>
    </cfRule>
  </conditionalFormatting>
  <conditionalFormatting sqref="Q25 T25 W25 Z25 G25 D25">
    <cfRule type="expression" priority="14" dxfId="2" stopIfTrue="1">
      <formula>$T$23&gt;0</formula>
    </cfRule>
  </conditionalFormatting>
  <conditionalFormatting sqref="R25 J25:K25">
    <cfRule type="expression" priority="15" dxfId="3" stopIfTrue="1">
      <formula>$T$23&gt;0</formula>
    </cfRule>
  </conditionalFormatting>
  <conditionalFormatting sqref="U25 X25 E25 H25">
    <cfRule type="expression" priority="16" dxfId="4" stopIfTrue="1">
      <formula>$T$23&gt;0</formula>
    </cfRule>
  </conditionalFormatting>
  <conditionalFormatting sqref="Y21">
    <cfRule type="expression" priority="17" dxfId="5" stopIfTrue="1">
      <formula>$T$21="si"</formula>
    </cfRule>
  </conditionalFormatting>
  <conditionalFormatting sqref="AD23 AA25 C25 F25 I25 V25:V31 S25:S31 Y25:Y31">
    <cfRule type="expression" priority="18" dxfId="5" stopIfTrue="1">
      <formula>$T$23&gt;0</formula>
    </cfRule>
  </conditionalFormatting>
  <conditionalFormatting sqref="AF23">
    <cfRule type="expression" priority="19" dxfId="5" stopIfTrue="1">
      <formula>$AD$23&gt;0</formula>
    </cfRule>
  </conditionalFormatting>
  <conditionalFormatting sqref="F26 C26 I26 AA26">
    <cfRule type="expression" priority="20" dxfId="5" stopIfTrue="1">
      <formula>$T$23&gt;1</formula>
    </cfRule>
  </conditionalFormatting>
  <conditionalFormatting sqref="F27 C27 I27 AA27">
    <cfRule type="expression" priority="21" dxfId="5" stopIfTrue="1">
      <formula>$T$23&gt;2</formula>
    </cfRule>
  </conditionalFormatting>
  <conditionalFormatting sqref="F28 C28 I28 AA28">
    <cfRule type="expression" priority="22" dxfId="5" stopIfTrue="1">
      <formula>$T$23&gt;3</formula>
    </cfRule>
  </conditionalFormatting>
  <conditionalFormatting sqref="F29 C29 I29 AA29">
    <cfRule type="expression" priority="23" dxfId="5" stopIfTrue="1">
      <formula>$T$23&gt;4</formula>
    </cfRule>
  </conditionalFormatting>
  <conditionalFormatting sqref="AA30">
    <cfRule type="expression" priority="24" dxfId="5" stopIfTrue="1">
      <formula>$T$23&gt;5</formula>
    </cfRule>
  </conditionalFormatting>
  <conditionalFormatting sqref="AA31">
    <cfRule type="expression" priority="25" dxfId="5" stopIfTrue="1">
      <formula>$T$23&gt;6</formula>
    </cfRule>
  </conditionalFormatting>
  <conditionalFormatting sqref="Y34">
    <cfRule type="expression" priority="26" dxfId="5" stopIfTrue="1">
      <formula>$T$33="si"</formula>
    </cfRule>
  </conditionalFormatting>
  <conditionalFormatting sqref="Y33 AF33:AF34 P33:P34">
    <cfRule type="expression" priority="27" dxfId="5" stopIfTrue="1">
      <formula>$T$33&gt;0</formula>
    </cfRule>
  </conditionalFormatting>
  <conditionalFormatting sqref="AA33:AE34 K33:O34">
    <cfRule type="expression" priority="28" dxfId="1" stopIfTrue="1">
      <formula>$T$33&gt;0</formula>
    </cfRule>
  </conditionalFormatting>
  <conditionalFormatting sqref="R26 T26:U26 W26:X26 Z26 G26:H26 D26:E26 J26:K26">
    <cfRule type="expression" priority="29" dxfId="3" stopIfTrue="1">
      <formula>$T$23&gt;1</formula>
    </cfRule>
  </conditionalFormatting>
  <conditionalFormatting sqref="R27 T27:U27 W27:X27 G27:H27 D27:E27 J27:K27">
    <cfRule type="expression" priority="30" dxfId="3" stopIfTrue="1">
      <formula>$T$23&gt;2</formula>
    </cfRule>
  </conditionalFormatting>
  <conditionalFormatting sqref="Q27">
    <cfRule type="expression" priority="31" dxfId="2" stopIfTrue="1">
      <formula>$T$23&gt;2</formula>
    </cfRule>
  </conditionalFormatting>
  <conditionalFormatting sqref="Q28">
    <cfRule type="expression" priority="32" dxfId="2" stopIfTrue="1">
      <formula>$T$23&gt;3</formula>
    </cfRule>
  </conditionalFormatting>
  <conditionalFormatting sqref="R28 T28:U28 W28:X28 G28:H28 D28:E28 J28:K28">
    <cfRule type="expression" priority="33" dxfId="3" stopIfTrue="1">
      <formula>$T$23&gt;3</formula>
    </cfRule>
  </conditionalFormatting>
  <conditionalFormatting sqref="Q29">
    <cfRule type="expression" priority="34" dxfId="2" stopIfTrue="1">
      <formula>$T$23&gt;4</formula>
    </cfRule>
  </conditionalFormatting>
  <conditionalFormatting sqref="R29 T29:U29 W29:X29 G29:H29 D29:E29 J29:K29">
    <cfRule type="expression" priority="35" dxfId="3" stopIfTrue="1">
      <formula>$T$23&gt;4</formula>
    </cfRule>
  </conditionalFormatting>
  <conditionalFormatting sqref="Q30">
    <cfRule type="expression" priority="36" dxfId="2" stopIfTrue="1">
      <formula>$T$23&gt;5</formula>
    </cfRule>
  </conditionalFormatting>
  <conditionalFormatting sqref="R30 T30:U30 W30:X30">
    <cfRule type="expression" priority="37" dxfId="3" stopIfTrue="1">
      <formula>$T$23&gt;5</formula>
    </cfRule>
  </conditionalFormatting>
  <conditionalFormatting sqref="Q31">
    <cfRule type="expression" priority="38" dxfId="2" stopIfTrue="1">
      <formula>$T$23&gt;6</formula>
    </cfRule>
  </conditionalFormatting>
  <conditionalFormatting sqref="R31 T31:U31 W31:X31">
    <cfRule type="expression" priority="39" dxfId="3" stopIfTrue="1">
      <formula>$T$23&gt;6</formula>
    </cfRule>
  </conditionalFormatting>
  <conditionalFormatting sqref="L25">
    <cfRule type="expression" priority="40" dxfId="1" stopIfTrue="1">
      <formula>$D$23&gt;0</formula>
    </cfRule>
  </conditionalFormatting>
  <conditionalFormatting sqref="N23">
    <cfRule type="expression" priority="41" dxfId="5" stopIfTrue="1">
      <formula>$D$23&gt;0</formula>
    </cfRule>
  </conditionalFormatting>
  <conditionalFormatting sqref="C30 F30 I30">
    <cfRule type="expression" priority="42" dxfId="5" stopIfTrue="1">
      <formula>$D$23&gt;5</formula>
    </cfRule>
  </conditionalFormatting>
  <conditionalFormatting sqref="C31 F31 I31">
    <cfRule type="expression" priority="43" dxfId="5" stopIfTrue="1">
      <formula>$D$23&gt;6</formula>
    </cfRule>
  </conditionalFormatting>
  <conditionalFormatting sqref="I34">
    <cfRule type="expression" priority="44" dxfId="5" stopIfTrue="1">
      <formula>$D$33="si"</formula>
    </cfRule>
  </conditionalFormatting>
  <conditionalFormatting sqref="A30">
    <cfRule type="expression" priority="45" dxfId="2" stopIfTrue="1">
      <formula>$D$23&gt;5</formula>
    </cfRule>
  </conditionalFormatting>
  <conditionalFormatting sqref="G30:H30 D30:E30 B30 J30:K30">
    <cfRule type="expression" priority="46" dxfId="3" stopIfTrue="1">
      <formula>$D$23&gt;5</formula>
    </cfRule>
  </conditionalFormatting>
  <conditionalFormatting sqref="A31">
    <cfRule type="expression" priority="47" dxfId="2" stopIfTrue="1">
      <formula>$D$23&gt;6</formula>
    </cfRule>
  </conditionalFormatting>
  <conditionalFormatting sqref="G31:H31 D31:E31 B31 J31:K31">
    <cfRule type="expression" priority="48" dxfId="3" stopIfTrue="1">
      <formula>$D$23&gt;6</formula>
    </cfRule>
  </conditionalFormatting>
  <conditionalFormatting sqref="A26">
    <cfRule type="expression" priority="49" dxfId="2" stopIfTrue="1">
      <formula>$D$23&gt;1</formula>
    </cfRule>
  </conditionalFormatting>
  <conditionalFormatting sqref="A25">
    <cfRule type="expression" priority="50" dxfId="2" stopIfTrue="1">
      <formula>$D$23&gt;0</formula>
    </cfRule>
  </conditionalFormatting>
  <conditionalFormatting sqref="B25">
    <cfRule type="expression" priority="51" dxfId="3" stopIfTrue="1">
      <formula>$D$23&gt;0</formula>
    </cfRule>
  </conditionalFormatting>
  <conditionalFormatting sqref="B26">
    <cfRule type="expression" priority="52" dxfId="3" stopIfTrue="1">
      <formula>$D$23&gt;1</formula>
    </cfRule>
  </conditionalFormatting>
  <conditionalFormatting sqref="B27">
    <cfRule type="expression" priority="53" dxfId="3" stopIfTrue="1">
      <formula>$D$23&gt;2</formula>
    </cfRule>
  </conditionalFormatting>
  <conditionalFormatting sqref="A27">
    <cfRule type="expression" priority="54" dxfId="2" stopIfTrue="1">
      <formula>$D$23&gt;2</formula>
    </cfRule>
  </conditionalFormatting>
  <conditionalFormatting sqref="A28">
    <cfRule type="expression" priority="55" dxfId="2" stopIfTrue="1">
      <formula>$D$23&gt;3</formula>
    </cfRule>
  </conditionalFormatting>
  <conditionalFormatting sqref="B28">
    <cfRule type="expression" priority="56" dxfId="3" stopIfTrue="1">
      <formula>$D$23&gt;3</formula>
    </cfRule>
  </conditionalFormatting>
  <conditionalFormatting sqref="A29">
    <cfRule type="expression" priority="57" dxfId="2" stopIfTrue="1">
      <formula>$D$23&gt;4</formula>
    </cfRule>
  </conditionalFormatting>
  <conditionalFormatting sqref="B29">
    <cfRule type="expression" priority="58" dxfId="3" stopIfTrue="1">
      <formula>$D$23&gt;4</formula>
    </cfRule>
  </conditionalFormatting>
  <conditionalFormatting sqref="L27">
    <cfRule type="expression" priority="59" dxfId="1" stopIfTrue="1">
      <formula>$D$23&gt;2</formula>
    </cfRule>
  </conditionalFormatting>
  <conditionalFormatting sqref="L28">
    <cfRule type="expression" priority="60" dxfId="1" stopIfTrue="1">
      <formula>$D$23&gt;3</formula>
    </cfRule>
  </conditionalFormatting>
  <conditionalFormatting sqref="L29">
    <cfRule type="expression" priority="61" dxfId="1" stopIfTrue="1">
      <formula>$D$23&gt;4</formula>
    </cfRule>
  </conditionalFormatting>
  <conditionalFormatting sqref="L30">
    <cfRule type="expression" priority="62" dxfId="1" stopIfTrue="1">
      <formula>$D$23&gt;5</formula>
    </cfRule>
  </conditionalFormatting>
  <conditionalFormatting sqref="L31">
    <cfRule type="expression" priority="63" dxfId="1" stopIfTrue="1">
      <formula>$D$23&gt;6</formula>
    </cfRule>
  </conditionalFormatting>
  <conditionalFormatting sqref="L26">
    <cfRule type="expression" priority="64" dxfId="1" stopIfTrue="1">
      <formula>$D$23&gt;1</formula>
    </cfRule>
  </conditionalFormatting>
  <printOptions/>
  <pageMargins left="0.1968503937007874" right="0" top="0.984251968503937" bottom="0.5905511811023623" header="0.5118110236220472" footer="0.5118110236220472"/>
  <pageSetup blackAndWhite="1" horizontalDpi="360" verticalDpi="36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Peppe</dc:creator>
  <cp:keywords/>
  <dc:description/>
  <cp:lastModifiedBy>Giuseppe Rizzo</cp:lastModifiedBy>
  <cp:lastPrinted>2007-03-07T09:33:23Z</cp:lastPrinted>
  <dcterms:created xsi:type="dcterms:W3CDTF">2006-11-12T17:44:09Z</dcterms:created>
  <dcterms:modified xsi:type="dcterms:W3CDTF">2007-03-21T11:09:03Z</dcterms:modified>
  <cp:category/>
  <cp:version/>
  <cp:contentType/>
  <cp:contentStatus/>
</cp:coreProperties>
</file>